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m\Desktop\Dokumentai (ne tinkle)\TARYBA-sprendimai\2021\2021-10-21 GV 2019-2021 m veikl plano keitimas\Pasirašytas 2021-10-21 TS-389\"/>
    </mc:Choice>
  </mc:AlternateContent>
  <xr:revisionPtr revIDLastSave="0" documentId="8_{63BD297B-BAFE-4429-85CA-5264830F507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2019-2021 m." sheetId="1" r:id="rId1"/>
  </sheets>
  <definedNames>
    <definedName name="_xlnm._FilterDatabase" localSheetId="0" hidden="1">'2019-2021 m.'!$A$11:$S$351</definedName>
    <definedName name="_xlnm.Print_Area" localSheetId="0">'2019-2021 m.'!$A$1:$S$351</definedName>
    <definedName name="_xlnm.Print_Titles" localSheetId="0">'2019-2021 m.'!$8:$9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1" i="1" l="1"/>
  <c r="M351" i="1"/>
  <c r="H351" i="1"/>
  <c r="Q350" i="1"/>
  <c r="P350" i="1"/>
  <c r="O350" i="1"/>
  <c r="N350" i="1"/>
  <c r="L350" i="1"/>
  <c r="K350" i="1"/>
  <c r="J350" i="1"/>
  <c r="I350" i="1"/>
  <c r="G350" i="1"/>
  <c r="F350" i="1"/>
  <c r="E350" i="1"/>
  <c r="D350" i="1"/>
  <c r="C350" i="1"/>
  <c r="Q349" i="1"/>
  <c r="P349" i="1"/>
  <c r="O349" i="1"/>
  <c r="N349" i="1"/>
  <c r="L349" i="1"/>
  <c r="K349" i="1"/>
  <c r="J349" i="1"/>
  <c r="I349" i="1"/>
  <c r="G349" i="1"/>
  <c r="F349" i="1"/>
  <c r="E349" i="1"/>
  <c r="D349" i="1"/>
  <c r="C349" i="1"/>
  <c r="R347" i="1"/>
  <c r="M347" i="1"/>
  <c r="R346" i="1"/>
  <c r="M346" i="1"/>
  <c r="R345" i="1"/>
  <c r="M345" i="1"/>
  <c r="R344" i="1"/>
  <c r="M344" i="1"/>
  <c r="R343" i="1"/>
  <c r="M343" i="1"/>
  <c r="R342" i="1"/>
  <c r="M342" i="1"/>
  <c r="R341" i="1"/>
  <c r="M341" i="1"/>
  <c r="R340" i="1"/>
  <c r="M340" i="1"/>
  <c r="R339" i="1"/>
  <c r="M339" i="1"/>
  <c r="R338" i="1"/>
  <c r="M338" i="1"/>
  <c r="R337" i="1"/>
  <c r="M337" i="1"/>
  <c r="H337" i="1"/>
  <c r="R336" i="1"/>
  <c r="M336" i="1"/>
  <c r="H336" i="1"/>
  <c r="R335" i="1"/>
  <c r="M335" i="1"/>
  <c r="H335" i="1"/>
  <c r="R334" i="1"/>
  <c r="M334" i="1"/>
  <c r="H334" i="1"/>
  <c r="R333" i="1"/>
  <c r="M333" i="1"/>
  <c r="H333" i="1"/>
  <c r="R332" i="1"/>
  <c r="M332" i="1"/>
  <c r="H332" i="1"/>
  <c r="R331" i="1"/>
  <c r="M331" i="1"/>
  <c r="H331" i="1"/>
  <c r="R330" i="1"/>
  <c r="M330" i="1"/>
  <c r="H330" i="1"/>
  <c r="R329" i="1"/>
  <c r="M329" i="1"/>
  <c r="H329" i="1"/>
  <c r="R328" i="1"/>
  <c r="M328" i="1"/>
  <c r="H328" i="1"/>
  <c r="R327" i="1"/>
  <c r="M327" i="1"/>
  <c r="H327" i="1"/>
  <c r="R326" i="1"/>
  <c r="M326" i="1"/>
  <c r="H326" i="1"/>
  <c r="R325" i="1"/>
  <c r="M325" i="1"/>
  <c r="H325" i="1"/>
  <c r="R324" i="1"/>
  <c r="M324" i="1"/>
  <c r="H324" i="1"/>
  <c r="R323" i="1"/>
  <c r="M323" i="1"/>
  <c r="H323" i="1"/>
  <c r="R322" i="1"/>
  <c r="M322" i="1"/>
  <c r="H322" i="1"/>
  <c r="R321" i="1"/>
  <c r="M321" i="1"/>
  <c r="D321" i="1"/>
  <c r="H321" i="1" s="1"/>
  <c r="Q320" i="1"/>
  <c r="P320" i="1"/>
  <c r="O320" i="1"/>
  <c r="N320" i="1"/>
  <c r="L320" i="1"/>
  <c r="K320" i="1"/>
  <c r="J320" i="1"/>
  <c r="I320" i="1"/>
  <c r="G320" i="1"/>
  <c r="F320" i="1"/>
  <c r="E320" i="1"/>
  <c r="D320" i="1"/>
  <c r="C320" i="1"/>
  <c r="Q319" i="1"/>
  <c r="P319" i="1"/>
  <c r="O319" i="1"/>
  <c r="N319" i="1"/>
  <c r="L319" i="1"/>
  <c r="K319" i="1"/>
  <c r="J319" i="1"/>
  <c r="I319" i="1"/>
  <c r="G319" i="1"/>
  <c r="F319" i="1"/>
  <c r="E319" i="1"/>
  <c r="D319" i="1"/>
  <c r="Q318" i="1"/>
  <c r="P318" i="1"/>
  <c r="O318" i="1"/>
  <c r="N318" i="1"/>
  <c r="L318" i="1"/>
  <c r="K318" i="1"/>
  <c r="J318" i="1"/>
  <c r="I318" i="1"/>
  <c r="G318" i="1"/>
  <c r="F318" i="1"/>
  <c r="E318" i="1"/>
  <c r="D318" i="1"/>
  <c r="C318" i="1"/>
  <c r="Q317" i="1"/>
  <c r="P317" i="1"/>
  <c r="O317" i="1"/>
  <c r="N317" i="1"/>
  <c r="L317" i="1"/>
  <c r="K317" i="1"/>
  <c r="J317" i="1"/>
  <c r="I317" i="1"/>
  <c r="G317" i="1"/>
  <c r="F317" i="1"/>
  <c r="E317" i="1"/>
  <c r="D317" i="1"/>
  <c r="C317" i="1"/>
  <c r="Q316" i="1"/>
  <c r="P316" i="1"/>
  <c r="O316" i="1"/>
  <c r="N316" i="1"/>
  <c r="L316" i="1"/>
  <c r="K316" i="1"/>
  <c r="J316" i="1"/>
  <c r="I316" i="1"/>
  <c r="G316" i="1"/>
  <c r="F316" i="1"/>
  <c r="E316" i="1"/>
  <c r="D316" i="1"/>
  <c r="C316" i="1"/>
  <c r="Q315" i="1"/>
  <c r="P315" i="1"/>
  <c r="O315" i="1"/>
  <c r="N315" i="1"/>
  <c r="L315" i="1"/>
  <c r="K315" i="1"/>
  <c r="J315" i="1"/>
  <c r="I315" i="1"/>
  <c r="G315" i="1"/>
  <c r="F315" i="1"/>
  <c r="E315" i="1"/>
  <c r="D315" i="1"/>
  <c r="C315" i="1"/>
  <c r="Q314" i="1"/>
  <c r="P314" i="1"/>
  <c r="O314" i="1"/>
  <c r="N314" i="1"/>
  <c r="L314" i="1"/>
  <c r="K314" i="1"/>
  <c r="J314" i="1"/>
  <c r="I314" i="1"/>
  <c r="G314" i="1"/>
  <c r="F314" i="1"/>
  <c r="E314" i="1"/>
  <c r="D314" i="1"/>
  <c r="C314" i="1"/>
  <c r="Q313" i="1"/>
  <c r="P313" i="1"/>
  <c r="O313" i="1"/>
  <c r="N313" i="1"/>
  <c r="L313" i="1"/>
  <c r="K313" i="1"/>
  <c r="J313" i="1"/>
  <c r="I313" i="1"/>
  <c r="G313" i="1"/>
  <c r="F313" i="1"/>
  <c r="E313" i="1"/>
  <c r="D313" i="1"/>
  <c r="C313" i="1"/>
  <c r="Q312" i="1"/>
  <c r="P312" i="1"/>
  <c r="O312" i="1"/>
  <c r="N312" i="1"/>
  <c r="L312" i="1"/>
  <c r="K312" i="1"/>
  <c r="J312" i="1"/>
  <c r="I312" i="1"/>
  <c r="G312" i="1"/>
  <c r="F312" i="1"/>
  <c r="E312" i="1"/>
  <c r="D312" i="1"/>
  <c r="C312" i="1"/>
  <c r="Q310" i="1"/>
  <c r="P310" i="1"/>
  <c r="O310" i="1"/>
  <c r="N310" i="1"/>
  <c r="L310" i="1"/>
  <c r="K310" i="1"/>
  <c r="J310" i="1"/>
  <c r="I310" i="1"/>
  <c r="G310" i="1"/>
  <c r="F310" i="1"/>
  <c r="E310" i="1"/>
  <c r="D310" i="1"/>
  <c r="C310" i="1"/>
  <c r="Q309" i="1"/>
  <c r="P309" i="1"/>
  <c r="O309" i="1"/>
  <c r="N309" i="1"/>
  <c r="L309" i="1"/>
  <c r="K309" i="1"/>
  <c r="J309" i="1"/>
  <c r="I309" i="1"/>
  <c r="G309" i="1"/>
  <c r="F309" i="1"/>
  <c r="E309" i="1"/>
  <c r="D309" i="1"/>
  <c r="C309" i="1"/>
  <c r="Q308" i="1"/>
  <c r="P308" i="1"/>
  <c r="O308" i="1"/>
  <c r="N308" i="1"/>
  <c r="L308" i="1"/>
  <c r="K308" i="1"/>
  <c r="J308" i="1"/>
  <c r="I308" i="1"/>
  <c r="G308" i="1"/>
  <c r="F308" i="1"/>
  <c r="E308" i="1"/>
  <c r="D308" i="1"/>
  <c r="C308" i="1"/>
  <c r="Q307" i="1"/>
  <c r="P307" i="1"/>
  <c r="O307" i="1"/>
  <c r="N307" i="1"/>
  <c r="L307" i="1"/>
  <c r="K307" i="1"/>
  <c r="J307" i="1"/>
  <c r="I307" i="1"/>
  <c r="G307" i="1"/>
  <c r="F307" i="1"/>
  <c r="E307" i="1"/>
  <c r="D307" i="1"/>
  <c r="C307" i="1"/>
  <c r="Q306" i="1"/>
  <c r="P306" i="1"/>
  <c r="O306" i="1"/>
  <c r="N306" i="1"/>
  <c r="L306" i="1"/>
  <c r="K306" i="1"/>
  <c r="J306" i="1"/>
  <c r="I306" i="1"/>
  <c r="G306" i="1"/>
  <c r="F306" i="1"/>
  <c r="E306" i="1"/>
  <c r="D306" i="1"/>
  <c r="C306" i="1"/>
  <c r="Q305" i="1"/>
  <c r="P305" i="1"/>
  <c r="O305" i="1"/>
  <c r="N305" i="1"/>
  <c r="K305" i="1"/>
  <c r="J305" i="1"/>
  <c r="I305" i="1"/>
  <c r="G305" i="1"/>
  <c r="F305" i="1"/>
  <c r="E305" i="1"/>
  <c r="D305" i="1"/>
  <c r="C305" i="1"/>
  <c r="Q304" i="1"/>
  <c r="P304" i="1"/>
  <c r="O304" i="1"/>
  <c r="N304" i="1"/>
  <c r="L304" i="1"/>
  <c r="K304" i="1"/>
  <c r="J304" i="1"/>
  <c r="I304" i="1"/>
  <c r="G304" i="1"/>
  <c r="F304" i="1"/>
  <c r="E304" i="1"/>
  <c r="D304" i="1"/>
  <c r="C304" i="1"/>
  <c r="Q303" i="1"/>
  <c r="P303" i="1"/>
  <c r="O303" i="1"/>
  <c r="N303" i="1"/>
  <c r="L303" i="1"/>
  <c r="K303" i="1"/>
  <c r="J303" i="1"/>
  <c r="I303" i="1"/>
  <c r="G303" i="1"/>
  <c r="F303" i="1"/>
  <c r="E303" i="1"/>
  <c r="D303" i="1"/>
  <c r="C303" i="1"/>
  <c r="Q302" i="1"/>
  <c r="P302" i="1"/>
  <c r="O302" i="1"/>
  <c r="N302" i="1"/>
  <c r="L302" i="1"/>
  <c r="K302" i="1"/>
  <c r="J302" i="1"/>
  <c r="I302" i="1"/>
  <c r="G302" i="1"/>
  <c r="F302" i="1"/>
  <c r="E302" i="1"/>
  <c r="D302" i="1"/>
  <c r="C302" i="1"/>
  <c r="Q301" i="1"/>
  <c r="P301" i="1"/>
  <c r="O301" i="1"/>
  <c r="N301" i="1"/>
  <c r="L301" i="1"/>
  <c r="K301" i="1"/>
  <c r="J301" i="1"/>
  <c r="I301" i="1"/>
  <c r="G301" i="1"/>
  <c r="F301" i="1"/>
  <c r="E301" i="1"/>
  <c r="D301" i="1"/>
  <c r="C301" i="1"/>
  <c r="Q300" i="1"/>
  <c r="P300" i="1"/>
  <c r="O300" i="1"/>
  <c r="N300" i="1"/>
  <c r="L300" i="1"/>
  <c r="K300" i="1"/>
  <c r="J300" i="1"/>
  <c r="I300" i="1"/>
  <c r="G300" i="1"/>
  <c r="F300" i="1"/>
  <c r="E300" i="1"/>
  <c r="D300" i="1"/>
  <c r="C300" i="1"/>
  <c r="Q299" i="1"/>
  <c r="P299" i="1"/>
  <c r="O299" i="1"/>
  <c r="N299" i="1"/>
  <c r="L299" i="1"/>
  <c r="K299" i="1"/>
  <c r="J299" i="1"/>
  <c r="I299" i="1"/>
  <c r="G299" i="1"/>
  <c r="F299" i="1"/>
  <c r="E299" i="1"/>
  <c r="D299" i="1"/>
  <c r="C299" i="1"/>
  <c r="Q298" i="1"/>
  <c r="P298" i="1"/>
  <c r="O298" i="1"/>
  <c r="N298" i="1"/>
  <c r="L298" i="1"/>
  <c r="K298" i="1"/>
  <c r="J298" i="1"/>
  <c r="I298" i="1"/>
  <c r="G298" i="1"/>
  <c r="F298" i="1"/>
  <c r="E298" i="1"/>
  <c r="D298" i="1"/>
  <c r="C298" i="1"/>
  <c r="Q297" i="1"/>
  <c r="P297" i="1"/>
  <c r="O297" i="1"/>
  <c r="N297" i="1"/>
  <c r="L297" i="1"/>
  <c r="K297" i="1"/>
  <c r="J297" i="1"/>
  <c r="I297" i="1"/>
  <c r="G297" i="1"/>
  <c r="F297" i="1"/>
  <c r="E297" i="1"/>
  <c r="D297" i="1"/>
  <c r="C297" i="1"/>
  <c r="Q296" i="1"/>
  <c r="P296" i="1"/>
  <c r="O296" i="1"/>
  <c r="N296" i="1"/>
  <c r="L296" i="1"/>
  <c r="K296" i="1"/>
  <c r="J296" i="1"/>
  <c r="I296" i="1"/>
  <c r="G296" i="1"/>
  <c r="F296" i="1"/>
  <c r="E296" i="1"/>
  <c r="D296" i="1"/>
  <c r="C296" i="1"/>
  <c r="Q295" i="1"/>
  <c r="P295" i="1"/>
  <c r="O295" i="1"/>
  <c r="N295" i="1"/>
  <c r="L295" i="1"/>
  <c r="K295" i="1"/>
  <c r="J295" i="1"/>
  <c r="I295" i="1"/>
  <c r="G295" i="1"/>
  <c r="F295" i="1"/>
  <c r="E295" i="1"/>
  <c r="D295" i="1"/>
  <c r="C295" i="1"/>
  <c r="Q294" i="1"/>
  <c r="P294" i="1"/>
  <c r="O294" i="1"/>
  <c r="N294" i="1"/>
  <c r="L294" i="1"/>
  <c r="K294" i="1"/>
  <c r="J294" i="1"/>
  <c r="I294" i="1"/>
  <c r="G294" i="1"/>
  <c r="F294" i="1"/>
  <c r="E294" i="1"/>
  <c r="D294" i="1"/>
  <c r="C294" i="1"/>
  <c r="Q293" i="1"/>
  <c r="P293" i="1"/>
  <c r="O293" i="1"/>
  <c r="N293" i="1"/>
  <c r="L293" i="1"/>
  <c r="K293" i="1"/>
  <c r="J293" i="1"/>
  <c r="I293" i="1"/>
  <c r="G293" i="1"/>
  <c r="F293" i="1"/>
  <c r="E293" i="1"/>
  <c r="D293" i="1"/>
  <c r="C293" i="1"/>
  <c r="Q292" i="1"/>
  <c r="P292" i="1"/>
  <c r="O292" i="1"/>
  <c r="N292" i="1"/>
  <c r="L292" i="1"/>
  <c r="K292" i="1"/>
  <c r="J292" i="1"/>
  <c r="I292" i="1"/>
  <c r="G292" i="1"/>
  <c r="F292" i="1"/>
  <c r="E292" i="1"/>
  <c r="D292" i="1"/>
  <c r="C292" i="1"/>
  <c r="Q291" i="1"/>
  <c r="P291" i="1"/>
  <c r="O291" i="1"/>
  <c r="N291" i="1"/>
  <c r="L291" i="1"/>
  <c r="K291" i="1"/>
  <c r="J291" i="1"/>
  <c r="I291" i="1"/>
  <c r="G291" i="1"/>
  <c r="F291" i="1"/>
  <c r="E291" i="1"/>
  <c r="D291" i="1"/>
  <c r="C291" i="1"/>
  <c r="Q290" i="1"/>
  <c r="P290" i="1"/>
  <c r="O290" i="1"/>
  <c r="N290" i="1"/>
  <c r="L290" i="1"/>
  <c r="K290" i="1"/>
  <c r="J290" i="1"/>
  <c r="I290" i="1"/>
  <c r="G290" i="1"/>
  <c r="F290" i="1"/>
  <c r="E290" i="1"/>
  <c r="D290" i="1"/>
  <c r="C290" i="1"/>
  <c r="Q289" i="1"/>
  <c r="P289" i="1"/>
  <c r="O289" i="1"/>
  <c r="N289" i="1"/>
  <c r="L289" i="1"/>
  <c r="K289" i="1"/>
  <c r="J289" i="1"/>
  <c r="I289" i="1"/>
  <c r="G289" i="1"/>
  <c r="F289" i="1"/>
  <c r="E289" i="1"/>
  <c r="D289" i="1"/>
  <c r="C289" i="1"/>
  <c r="Q288" i="1"/>
  <c r="P288" i="1"/>
  <c r="O288" i="1"/>
  <c r="N288" i="1"/>
  <c r="L288" i="1"/>
  <c r="K288" i="1"/>
  <c r="J288" i="1"/>
  <c r="I288" i="1"/>
  <c r="G288" i="1"/>
  <c r="F288" i="1"/>
  <c r="E288" i="1"/>
  <c r="D288" i="1"/>
  <c r="C288" i="1"/>
  <c r="Q287" i="1"/>
  <c r="P287" i="1"/>
  <c r="O287" i="1"/>
  <c r="N287" i="1"/>
  <c r="L287" i="1"/>
  <c r="K287" i="1"/>
  <c r="J287" i="1"/>
  <c r="I287" i="1"/>
  <c r="G287" i="1"/>
  <c r="F287" i="1"/>
  <c r="E287" i="1"/>
  <c r="D287" i="1"/>
  <c r="C287" i="1"/>
  <c r="Q286" i="1"/>
  <c r="P286" i="1"/>
  <c r="O286" i="1"/>
  <c r="N286" i="1"/>
  <c r="L286" i="1"/>
  <c r="K286" i="1"/>
  <c r="J286" i="1"/>
  <c r="I286" i="1"/>
  <c r="G286" i="1"/>
  <c r="F286" i="1"/>
  <c r="E286" i="1"/>
  <c r="D286" i="1"/>
  <c r="C286" i="1"/>
  <c r="Q285" i="1"/>
  <c r="P285" i="1"/>
  <c r="O285" i="1"/>
  <c r="N285" i="1"/>
  <c r="L285" i="1"/>
  <c r="K285" i="1"/>
  <c r="J285" i="1"/>
  <c r="I285" i="1"/>
  <c r="G285" i="1"/>
  <c r="F285" i="1"/>
  <c r="E285" i="1"/>
  <c r="D285" i="1"/>
  <c r="C285" i="1"/>
  <c r="Q284" i="1"/>
  <c r="P284" i="1"/>
  <c r="O284" i="1"/>
  <c r="N284" i="1"/>
  <c r="L284" i="1"/>
  <c r="K284" i="1"/>
  <c r="J284" i="1"/>
  <c r="I284" i="1"/>
  <c r="G284" i="1"/>
  <c r="F284" i="1"/>
  <c r="E284" i="1"/>
  <c r="D284" i="1"/>
  <c r="C284" i="1"/>
  <c r="Q283" i="1"/>
  <c r="P283" i="1"/>
  <c r="O283" i="1"/>
  <c r="N283" i="1"/>
  <c r="L283" i="1"/>
  <c r="K283" i="1"/>
  <c r="J283" i="1"/>
  <c r="I283" i="1"/>
  <c r="G283" i="1"/>
  <c r="F283" i="1"/>
  <c r="E283" i="1"/>
  <c r="D283" i="1"/>
  <c r="C283" i="1"/>
  <c r="Q282" i="1"/>
  <c r="P282" i="1"/>
  <c r="O282" i="1"/>
  <c r="N282" i="1"/>
  <c r="L282" i="1"/>
  <c r="K282" i="1"/>
  <c r="J282" i="1"/>
  <c r="I282" i="1"/>
  <c r="G282" i="1"/>
  <c r="F282" i="1"/>
  <c r="E282" i="1"/>
  <c r="D282" i="1"/>
  <c r="C282" i="1"/>
  <c r="Q281" i="1"/>
  <c r="P281" i="1"/>
  <c r="O281" i="1"/>
  <c r="N281" i="1"/>
  <c r="L281" i="1"/>
  <c r="K281" i="1"/>
  <c r="J281" i="1"/>
  <c r="I281" i="1"/>
  <c r="G281" i="1"/>
  <c r="F281" i="1"/>
  <c r="E281" i="1"/>
  <c r="D281" i="1"/>
  <c r="C281" i="1"/>
  <c r="Q280" i="1"/>
  <c r="P280" i="1"/>
  <c r="O280" i="1"/>
  <c r="N280" i="1"/>
  <c r="L280" i="1"/>
  <c r="K280" i="1"/>
  <c r="J280" i="1"/>
  <c r="I280" i="1"/>
  <c r="G280" i="1"/>
  <c r="F280" i="1"/>
  <c r="E280" i="1"/>
  <c r="D280" i="1"/>
  <c r="C280" i="1"/>
  <c r="Q279" i="1"/>
  <c r="P279" i="1"/>
  <c r="O279" i="1"/>
  <c r="N279" i="1"/>
  <c r="L279" i="1"/>
  <c r="K279" i="1"/>
  <c r="J279" i="1"/>
  <c r="I279" i="1"/>
  <c r="G279" i="1"/>
  <c r="F279" i="1"/>
  <c r="E279" i="1"/>
  <c r="D279" i="1"/>
  <c r="C279" i="1"/>
  <c r="Q278" i="1"/>
  <c r="P278" i="1"/>
  <c r="O278" i="1"/>
  <c r="N278" i="1"/>
  <c r="L278" i="1"/>
  <c r="K278" i="1"/>
  <c r="J278" i="1"/>
  <c r="I278" i="1"/>
  <c r="G278" i="1"/>
  <c r="F278" i="1"/>
  <c r="E278" i="1"/>
  <c r="D278" i="1"/>
  <c r="C278" i="1"/>
  <c r="Q277" i="1"/>
  <c r="P277" i="1"/>
  <c r="O277" i="1"/>
  <c r="N277" i="1"/>
  <c r="L277" i="1"/>
  <c r="K277" i="1"/>
  <c r="J277" i="1"/>
  <c r="I277" i="1"/>
  <c r="G277" i="1"/>
  <c r="F277" i="1"/>
  <c r="E277" i="1"/>
  <c r="D277" i="1"/>
  <c r="Q276" i="1"/>
  <c r="P276" i="1"/>
  <c r="O276" i="1"/>
  <c r="N276" i="1"/>
  <c r="L276" i="1"/>
  <c r="K276" i="1"/>
  <c r="J276" i="1"/>
  <c r="I276" i="1"/>
  <c r="G276" i="1"/>
  <c r="F276" i="1"/>
  <c r="E276" i="1"/>
  <c r="D276" i="1"/>
  <c r="C276" i="1"/>
  <c r="Q275" i="1"/>
  <c r="P275" i="1"/>
  <c r="O275" i="1"/>
  <c r="N275" i="1"/>
  <c r="L275" i="1"/>
  <c r="K275" i="1"/>
  <c r="J275" i="1"/>
  <c r="I275" i="1"/>
  <c r="G275" i="1"/>
  <c r="F275" i="1"/>
  <c r="E275" i="1"/>
  <c r="D275" i="1"/>
  <c r="C275" i="1"/>
  <c r="Q274" i="1"/>
  <c r="P274" i="1"/>
  <c r="O274" i="1"/>
  <c r="N274" i="1"/>
  <c r="L274" i="1"/>
  <c r="K274" i="1"/>
  <c r="J274" i="1"/>
  <c r="I274" i="1"/>
  <c r="G274" i="1"/>
  <c r="F274" i="1"/>
  <c r="E274" i="1"/>
  <c r="D274" i="1"/>
  <c r="C274" i="1"/>
  <c r="Q273" i="1"/>
  <c r="P273" i="1"/>
  <c r="O273" i="1"/>
  <c r="N273" i="1"/>
  <c r="L273" i="1"/>
  <c r="K273" i="1"/>
  <c r="J273" i="1"/>
  <c r="I273" i="1"/>
  <c r="G273" i="1"/>
  <c r="F273" i="1"/>
  <c r="E273" i="1"/>
  <c r="D273" i="1"/>
  <c r="C273" i="1"/>
  <c r="Q272" i="1"/>
  <c r="P272" i="1"/>
  <c r="O272" i="1"/>
  <c r="N272" i="1"/>
  <c r="L272" i="1"/>
  <c r="K272" i="1"/>
  <c r="J272" i="1"/>
  <c r="I272" i="1"/>
  <c r="G272" i="1"/>
  <c r="F272" i="1"/>
  <c r="E272" i="1"/>
  <c r="D272" i="1"/>
  <c r="C272" i="1"/>
  <c r="Q271" i="1"/>
  <c r="P271" i="1"/>
  <c r="O271" i="1"/>
  <c r="N271" i="1"/>
  <c r="L271" i="1"/>
  <c r="K271" i="1"/>
  <c r="J271" i="1"/>
  <c r="I271" i="1"/>
  <c r="G271" i="1"/>
  <c r="F271" i="1"/>
  <c r="E271" i="1"/>
  <c r="D271" i="1"/>
  <c r="C271" i="1"/>
  <c r="Q270" i="1"/>
  <c r="P270" i="1"/>
  <c r="O270" i="1"/>
  <c r="N270" i="1"/>
  <c r="L270" i="1"/>
  <c r="K270" i="1"/>
  <c r="J270" i="1"/>
  <c r="I270" i="1"/>
  <c r="G270" i="1"/>
  <c r="F270" i="1"/>
  <c r="E270" i="1"/>
  <c r="D270" i="1"/>
  <c r="C270" i="1"/>
  <c r="Q269" i="1"/>
  <c r="P269" i="1"/>
  <c r="O269" i="1"/>
  <c r="N269" i="1"/>
  <c r="L269" i="1"/>
  <c r="K269" i="1"/>
  <c r="J269" i="1"/>
  <c r="I269" i="1"/>
  <c r="G269" i="1"/>
  <c r="F269" i="1"/>
  <c r="E269" i="1"/>
  <c r="D269" i="1"/>
  <c r="C269" i="1"/>
  <c r="Q268" i="1"/>
  <c r="P268" i="1"/>
  <c r="O268" i="1"/>
  <c r="N268" i="1"/>
  <c r="L268" i="1"/>
  <c r="K268" i="1"/>
  <c r="J268" i="1"/>
  <c r="I268" i="1"/>
  <c r="G268" i="1"/>
  <c r="F268" i="1"/>
  <c r="E268" i="1"/>
  <c r="D268" i="1"/>
  <c r="C268" i="1"/>
  <c r="Q267" i="1"/>
  <c r="P267" i="1"/>
  <c r="O267" i="1"/>
  <c r="N267" i="1"/>
  <c r="L267" i="1"/>
  <c r="K267" i="1"/>
  <c r="J267" i="1"/>
  <c r="I267" i="1"/>
  <c r="G267" i="1"/>
  <c r="F267" i="1"/>
  <c r="E267" i="1"/>
  <c r="D267" i="1"/>
  <c r="C267" i="1"/>
  <c r="Q266" i="1"/>
  <c r="P266" i="1"/>
  <c r="O266" i="1"/>
  <c r="N266" i="1"/>
  <c r="L266" i="1"/>
  <c r="L305" i="1" s="1"/>
  <c r="K266" i="1"/>
  <c r="J266" i="1"/>
  <c r="I266" i="1"/>
  <c r="G266" i="1"/>
  <c r="F266" i="1"/>
  <c r="E266" i="1"/>
  <c r="D266" i="1"/>
  <c r="C266" i="1"/>
  <c r="Q265" i="1"/>
  <c r="P265" i="1"/>
  <c r="O265" i="1"/>
  <c r="N265" i="1"/>
  <c r="L265" i="1"/>
  <c r="K265" i="1"/>
  <c r="J265" i="1"/>
  <c r="I265" i="1"/>
  <c r="G265" i="1"/>
  <c r="F265" i="1"/>
  <c r="E265" i="1"/>
  <c r="D265" i="1"/>
  <c r="C265" i="1"/>
  <c r="Q264" i="1"/>
  <c r="P264" i="1"/>
  <c r="O264" i="1"/>
  <c r="N264" i="1"/>
  <c r="L264" i="1"/>
  <c r="K264" i="1"/>
  <c r="J264" i="1"/>
  <c r="I264" i="1"/>
  <c r="G264" i="1"/>
  <c r="F264" i="1"/>
  <c r="E264" i="1"/>
  <c r="D264" i="1"/>
  <c r="C264" i="1"/>
  <c r="Q263" i="1"/>
  <c r="P263" i="1"/>
  <c r="O263" i="1"/>
  <c r="N263" i="1"/>
  <c r="L263" i="1"/>
  <c r="K263" i="1"/>
  <c r="J263" i="1"/>
  <c r="I263" i="1"/>
  <c r="G263" i="1"/>
  <c r="F263" i="1"/>
  <c r="E263" i="1"/>
  <c r="D263" i="1"/>
  <c r="Q262" i="1"/>
  <c r="P262" i="1"/>
  <c r="O262" i="1"/>
  <c r="N262" i="1"/>
  <c r="L262" i="1"/>
  <c r="K262" i="1"/>
  <c r="J262" i="1"/>
  <c r="I262" i="1"/>
  <c r="G262" i="1"/>
  <c r="F262" i="1"/>
  <c r="E262" i="1"/>
  <c r="D262" i="1"/>
  <c r="C262" i="1"/>
  <c r="Q261" i="1"/>
  <c r="P261" i="1"/>
  <c r="O261" i="1"/>
  <c r="N261" i="1"/>
  <c r="L261" i="1"/>
  <c r="K261" i="1"/>
  <c r="J261" i="1"/>
  <c r="I261" i="1"/>
  <c r="G261" i="1"/>
  <c r="F261" i="1"/>
  <c r="E261" i="1"/>
  <c r="D261" i="1"/>
  <c r="Q260" i="1"/>
  <c r="P260" i="1"/>
  <c r="O260" i="1"/>
  <c r="N260" i="1"/>
  <c r="L260" i="1"/>
  <c r="K260" i="1"/>
  <c r="J260" i="1"/>
  <c r="I260" i="1"/>
  <c r="G260" i="1"/>
  <c r="F260" i="1"/>
  <c r="E260" i="1"/>
  <c r="D260" i="1"/>
  <c r="C260" i="1"/>
  <c r="Q259" i="1"/>
  <c r="P259" i="1"/>
  <c r="O259" i="1"/>
  <c r="N259" i="1"/>
  <c r="L259" i="1"/>
  <c r="K259" i="1"/>
  <c r="J259" i="1"/>
  <c r="I259" i="1"/>
  <c r="G259" i="1"/>
  <c r="F259" i="1"/>
  <c r="E259" i="1"/>
  <c r="D259" i="1"/>
  <c r="C259" i="1"/>
  <c r="Q258" i="1"/>
  <c r="P258" i="1"/>
  <c r="O258" i="1"/>
  <c r="N258" i="1"/>
  <c r="L258" i="1"/>
  <c r="K258" i="1"/>
  <c r="J258" i="1"/>
  <c r="I258" i="1"/>
  <c r="G258" i="1"/>
  <c r="F258" i="1"/>
  <c r="E258" i="1"/>
  <c r="D258" i="1"/>
  <c r="C258" i="1"/>
  <c r="Q257" i="1"/>
  <c r="P257" i="1"/>
  <c r="O257" i="1"/>
  <c r="N257" i="1"/>
  <c r="L257" i="1"/>
  <c r="K257" i="1"/>
  <c r="J257" i="1"/>
  <c r="I257" i="1"/>
  <c r="G257" i="1"/>
  <c r="F257" i="1"/>
  <c r="E257" i="1"/>
  <c r="D257" i="1"/>
  <c r="C257" i="1"/>
  <c r="Q256" i="1"/>
  <c r="P256" i="1"/>
  <c r="O256" i="1"/>
  <c r="N256" i="1"/>
  <c r="L256" i="1"/>
  <c r="K256" i="1"/>
  <c r="J256" i="1"/>
  <c r="I256" i="1"/>
  <c r="G256" i="1"/>
  <c r="F256" i="1"/>
  <c r="E256" i="1"/>
  <c r="D256" i="1"/>
  <c r="C256" i="1"/>
  <c r="Q255" i="1"/>
  <c r="P255" i="1"/>
  <c r="O255" i="1"/>
  <c r="N255" i="1"/>
  <c r="L255" i="1"/>
  <c r="K255" i="1"/>
  <c r="J255" i="1"/>
  <c r="I255" i="1"/>
  <c r="G255" i="1"/>
  <c r="F255" i="1"/>
  <c r="E255" i="1"/>
  <c r="D255" i="1"/>
  <c r="Q254" i="1"/>
  <c r="P254" i="1"/>
  <c r="O254" i="1"/>
  <c r="N254" i="1"/>
  <c r="L254" i="1"/>
  <c r="K254" i="1"/>
  <c r="J254" i="1"/>
  <c r="I254" i="1"/>
  <c r="G254" i="1"/>
  <c r="F254" i="1"/>
  <c r="E254" i="1"/>
  <c r="D254" i="1"/>
  <c r="C254" i="1"/>
  <c r="Q253" i="1"/>
  <c r="P253" i="1"/>
  <c r="O253" i="1"/>
  <c r="N253" i="1"/>
  <c r="G253" i="1"/>
  <c r="F253" i="1"/>
  <c r="E253" i="1"/>
  <c r="D253" i="1"/>
  <c r="C253" i="1"/>
  <c r="Q252" i="1"/>
  <c r="P252" i="1"/>
  <c r="O252" i="1"/>
  <c r="N252" i="1"/>
  <c r="L252" i="1"/>
  <c r="K252" i="1"/>
  <c r="J252" i="1"/>
  <c r="I252" i="1"/>
  <c r="G252" i="1"/>
  <c r="F252" i="1"/>
  <c r="E252" i="1"/>
  <c r="D252" i="1"/>
  <c r="C252" i="1"/>
  <c r="Q251" i="1"/>
  <c r="P251" i="1"/>
  <c r="O251" i="1"/>
  <c r="N251" i="1"/>
  <c r="L251" i="1"/>
  <c r="K251" i="1"/>
  <c r="J251" i="1"/>
  <c r="I251" i="1"/>
  <c r="G251" i="1"/>
  <c r="F251" i="1"/>
  <c r="E251" i="1"/>
  <c r="D251" i="1"/>
  <c r="Q250" i="1"/>
  <c r="P250" i="1"/>
  <c r="O250" i="1"/>
  <c r="N250" i="1"/>
  <c r="L250" i="1"/>
  <c r="K250" i="1"/>
  <c r="J250" i="1"/>
  <c r="I250" i="1"/>
  <c r="G250" i="1"/>
  <c r="F250" i="1"/>
  <c r="E250" i="1"/>
  <c r="D250" i="1"/>
  <c r="Q249" i="1"/>
  <c r="P249" i="1"/>
  <c r="O249" i="1"/>
  <c r="N249" i="1"/>
  <c r="L249" i="1"/>
  <c r="K249" i="1"/>
  <c r="J249" i="1"/>
  <c r="I249" i="1"/>
  <c r="G249" i="1"/>
  <c r="F249" i="1"/>
  <c r="E249" i="1"/>
  <c r="D249" i="1"/>
  <c r="Q248" i="1"/>
  <c r="P248" i="1"/>
  <c r="O248" i="1"/>
  <c r="N248" i="1"/>
  <c r="L248" i="1"/>
  <c r="K248" i="1"/>
  <c r="J248" i="1"/>
  <c r="I248" i="1"/>
  <c r="G248" i="1"/>
  <c r="F248" i="1"/>
  <c r="E248" i="1"/>
  <c r="D248" i="1"/>
  <c r="C248" i="1"/>
  <c r="Q247" i="1"/>
  <c r="P247" i="1"/>
  <c r="O247" i="1"/>
  <c r="N247" i="1"/>
  <c r="L247" i="1"/>
  <c r="K247" i="1"/>
  <c r="J247" i="1"/>
  <c r="I247" i="1"/>
  <c r="G247" i="1"/>
  <c r="F247" i="1"/>
  <c r="E247" i="1"/>
  <c r="D247" i="1"/>
  <c r="C247" i="1"/>
  <c r="Q246" i="1"/>
  <c r="P246" i="1"/>
  <c r="O246" i="1"/>
  <c r="N246" i="1"/>
  <c r="L246" i="1"/>
  <c r="K246" i="1"/>
  <c r="J246" i="1"/>
  <c r="I246" i="1"/>
  <c r="G246" i="1"/>
  <c r="F246" i="1"/>
  <c r="E246" i="1"/>
  <c r="D246" i="1"/>
  <c r="C246" i="1"/>
  <c r="Q245" i="1"/>
  <c r="P245" i="1"/>
  <c r="O245" i="1"/>
  <c r="N245" i="1"/>
  <c r="L245" i="1"/>
  <c r="K245" i="1"/>
  <c r="J245" i="1"/>
  <c r="I245" i="1"/>
  <c r="G245" i="1"/>
  <c r="F245" i="1"/>
  <c r="E245" i="1"/>
  <c r="D245" i="1"/>
  <c r="C245" i="1"/>
  <c r="Q244" i="1"/>
  <c r="P244" i="1"/>
  <c r="O244" i="1"/>
  <c r="N244" i="1"/>
  <c r="L244" i="1"/>
  <c r="K244" i="1"/>
  <c r="J244" i="1"/>
  <c r="I244" i="1"/>
  <c r="G244" i="1"/>
  <c r="F244" i="1"/>
  <c r="E244" i="1"/>
  <c r="D244" i="1"/>
  <c r="C244" i="1"/>
  <c r="Q243" i="1"/>
  <c r="P243" i="1"/>
  <c r="O243" i="1"/>
  <c r="N243" i="1"/>
  <c r="L243" i="1"/>
  <c r="K243" i="1"/>
  <c r="J243" i="1"/>
  <c r="I243" i="1"/>
  <c r="G243" i="1"/>
  <c r="F243" i="1"/>
  <c r="E243" i="1"/>
  <c r="D243" i="1"/>
  <c r="C243" i="1"/>
  <c r="Q242" i="1"/>
  <c r="P242" i="1"/>
  <c r="O242" i="1"/>
  <c r="N242" i="1"/>
  <c r="L242" i="1"/>
  <c r="K242" i="1"/>
  <c r="J242" i="1"/>
  <c r="I242" i="1"/>
  <c r="G242" i="1"/>
  <c r="F242" i="1"/>
  <c r="E242" i="1"/>
  <c r="D242" i="1"/>
  <c r="Q241" i="1"/>
  <c r="P241" i="1"/>
  <c r="O241" i="1"/>
  <c r="N241" i="1"/>
  <c r="L241" i="1"/>
  <c r="K241" i="1"/>
  <c r="J241" i="1"/>
  <c r="I241" i="1"/>
  <c r="G241" i="1"/>
  <c r="F241" i="1"/>
  <c r="E241" i="1"/>
  <c r="D241" i="1"/>
  <c r="Q240" i="1"/>
  <c r="P240" i="1"/>
  <c r="O240" i="1"/>
  <c r="N240" i="1"/>
  <c r="L240" i="1"/>
  <c r="K240" i="1"/>
  <c r="J240" i="1"/>
  <c r="I240" i="1"/>
  <c r="G240" i="1"/>
  <c r="F240" i="1"/>
  <c r="E240" i="1"/>
  <c r="D240" i="1"/>
  <c r="Q239" i="1"/>
  <c r="P239" i="1"/>
  <c r="O239" i="1"/>
  <c r="N239" i="1"/>
  <c r="L239" i="1"/>
  <c r="K239" i="1"/>
  <c r="J239" i="1"/>
  <c r="I239" i="1"/>
  <c r="G239" i="1"/>
  <c r="F239" i="1"/>
  <c r="E239" i="1"/>
  <c r="D239" i="1"/>
  <c r="C239" i="1"/>
  <c r="Q238" i="1"/>
  <c r="P238" i="1"/>
  <c r="O238" i="1"/>
  <c r="N238" i="1"/>
  <c r="L238" i="1"/>
  <c r="K238" i="1"/>
  <c r="J238" i="1"/>
  <c r="I238" i="1"/>
  <c r="G238" i="1"/>
  <c r="F238" i="1"/>
  <c r="E238" i="1"/>
  <c r="D238" i="1"/>
  <c r="Q237" i="1"/>
  <c r="P237" i="1"/>
  <c r="O237" i="1"/>
  <c r="N237" i="1"/>
  <c r="L237" i="1"/>
  <c r="K237" i="1"/>
  <c r="J237" i="1"/>
  <c r="I237" i="1"/>
  <c r="G237" i="1"/>
  <c r="F237" i="1"/>
  <c r="E237" i="1"/>
  <c r="D237" i="1"/>
  <c r="Q236" i="1"/>
  <c r="P236" i="1"/>
  <c r="O236" i="1"/>
  <c r="N236" i="1"/>
  <c r="L236" i="1"/>
  <c r="K236" i="1"/>
  <c r="J236" i="1"/>
  <c r="I236" i="1"/>
  <c r="G236" i="1"/>
  <c r="F236" i="1"/>
  <c r="E236" i="1"/>
  <c r="D236" i="1"/>
  <c r="Q235" i="1"/>
  <c r="P235" i="1"/>
  <c r="O235" i="1"/>
  <c r="N235" i="1"/>
  <c r="L235" i="1"/>
  <c r="K235" i="1"/>
  <c r="J235" i="1"/>
  <c r="I235" i="1"/>
  <c r="G235" i="1"/>
  <c r="F235" i="1"/>
  <c r="E235" i="1"/>
  <c r="D235" i="1"/>
  <c r="C235" i="1"/>
  <c r="Q234" i="1"/>
  <c r="P234" i="1"/>
  <c r="O234" i="1"/>
  <c r="N234" i="1"/>
  <c r="L234" i="1"/>
  <c r="K234" i="1"/>
  <c r="J234" i="1"/>
  <c r="I234" i="1"/>
  <c r="G234" i="1"/>
  <c r="F234" i="1"/>
  <c r="E234" i="1"/>
  <c r="D234" i="1"/>
  <c r="C234" i="1"/>
  <c r="Q233" i="1"/>
  <c r="P233" i="1"/>
  <c r="O233" i="1"/>
  <c r="N233" i="1"/>
  <c r="L233" i="1"/>
  <c r="K233" i="1"/>
  <c r="J233" i="1"/>
  <c r="I233" i="1"/>
  <c r="G233" i="1"/>
  <c r="F233" i="1"/>
  <c r="E233" i="1"/>
  <c r="D233" i="1"/>
  <c r="Q232" i="1"/>
  <c r="P232" i="1"/>
  <c r="O232" i="1"/>
  <c r="N232" i="1"/>
  <c r="L232" i="1"/>
  <c r="K232" i="1"/>
  <c r="J232" i="1"/>
  <c r="I232" i="1"/>
  <c r="G232" i="1"/>
  <c r="F232" i="1"/>
  <c r="E232" i="1"/>
  <c r="D232" i="1"/>
  <c r="Q231" i="1"/>
  <c r="P231" i="1"/>
  <c r="O231" i="1"/>
  <c r="N231" i="1"/>
  <c r="L231" i="1"/>
  <c r="K231" i="1"/>
  <c r="J231" i="1"/>
  <c r="I231" i="1"/>
  <c r="G231" i="1"/>
  <c r="F231" i="1"/>
  <c r="E231" i="1"/>
  <c r="D231" i="1"/>
  <c r="C231" i="1"/>
  <c r="Q230" i="1"/>
  <c r="P230" i="1"/>
  <c r="O230" i="1"/>
  <c r="N230" i="1"/>
  <c r="L230" i="1"/>
  <c r="K230" i="1"/>
  <c r="J230" i="1"/>
  <c r="I230" i="1"/>
  <c r="G230" i="1"/>
  <c r="F230" i="1"/>
  <c r="E230" i="1"/>
  <c r="D230" i="1"/>
  <c r="C230" i="1"/>
  <c r="Q229" i="1"/>
  <c r="P229" i="1"/>
  <c r="O229" i="1"/>
  <c r="N229" i="1"/>
  <c r="L229" i="1"/>
  <c r="K229" i="1"/>
  <c r="J229" i="1"/>
  <c r="I229" i="1"/>
  <c r="G229" i="1"/>
  <c r="F229" i="1"/>
  <c r="E229" i="1"/>
  <c r="D229" i="1"/>
  <c r="C229" i="1"/>
  <c r="Q228" i="1"/>
  <c r="P228" i="1"/>
  <c r="O228" i="1"/>
  <c r="N228" i="1"/>
  <c r="L228" i="1"/>
  <c r="K228" i="1"/>
  <c r="J228" i="1"/>
  <c r="I228" i="1"/>
  <c r="G228" i="1"/>
  <c r="F228" i="1"/>
  <c r="E228" i="1"/>
  <c r="D228" i="1"/>
  <c r="C228" i="1"/>
  <c r="Q227" i="1"/>
  <c r="P227" i="1"/>
  <c r="O227" i="1"/>
  <c r="N227" i="1"/>
  <c r="L227" i="1"/>
  <c r="K227" i="1"/>
  <c r="J227" i="1"/>
  <c r="I227" i="1"/>
  <c r="G227" i="1"/>
  <c r="F227" i="1"/>
  <c r="E227" i="1"/>
  <c r="D227" i="1"/>
  <c r="C227" i="1"/>
  <c r="Q226" i="1"/>
  <c r="P226" i="1"/>
  <c r="O226" i="1"/>
  <c r="N226" i="1"/>
  <c r="L226" i="1"/>
  <c r="K226" i="1"/>
  <c r="J226" i="1"/>
  <c r="I226" i="1"/>
  <c r="G226" i="1"/>
  <c r="F226" i="1"/>
  <c r="E226" i="1"/>
  <c r="D226" i="1"/>
  <c r="C226" i="1"/>
  <c r="Q225" i="1"/>
  <c r="P225" i="1"/>
  <c r="O225" i="1"/>
  <c r="N225" i="1"/>
  <c r="L225" i="1"/>
  <c r="K225" i="1"/>
  <c r="J225" i="1"/>
  <c r="I225" i="1"/>
  <c r="G225" i="1"/>
  <c r="F225" i="1"/>
  <c r="E225" i="1"/>
  <c r="D225" i="1"/>
  <c r="C225" i="1"/>
  <c r="Q224" i="1"/>
  <c r="P224" i="1"/>
  <c r="O224" i="1"/>
  <c r="N224" i="1"/>
  <c r="L224" i="1"/>
  <c r="K224" i="1"/>
  <c r="J224" i="1"/>
  <c r="I224" i="1"/>
  <c r="G224" i="1"/>
  <c r="F224" i="1"/>
  <c r="E224" i="1"/>
  <c r="D224" i="1"/>
  <c r="Q223" i="1"/>
  <c r="P223" i="1"/>
  <c r="O223" i="1"/>
  <c r="N223" i="1"/>
  <c r="L223" i="1"/>
  <c r="K223" i="1"/>
  <c r="J223" i="1"/>
  <c r="I223" i="1"/>
  <c r="G223" i="1"/>
  <c r="F223" i="1"/>
  <c r="E223" i="1"/>
  <c r="D223" i="1"/>
  <c r="Q222" i="1"/>
  <c r="P222" i="1"/>
  <c r="O222" i="1"/>
  <c r="N222" i="1"/>
  <c r="L222" i="1"/>
  <c r="K222" i="1"/>
  <c r="J222" i="1"/>
  <c r="I222" i="1"/>
  <c r="G222" i="1"/>
  <c r="F222" i="1"/>
  <c r="E222" i="1"/>
  <c r="D222" i="1"/>
  <c r="C222" i="1"/>
  <c r="Q221" i="1"/>
  <c r="P221" i="1"/>
  <c r="O221" i="1"/>
  <c r="N221" i="1"/>
  <c r="L221" i="1"/>
  <c r="K221" i="1"/>
  <c r="J221" i="1"/>
  <c r="I221" i="1"/>
  <c r="G221" i="1"/>
  <c r="F221" i="1"/>
  <c r="E221" i="1"/>
  <c r="D221" i="1"/>
  <c r="C221" i="1"/>
  <c r="Q220" i="1"/>
  <c r="P220" i="1"/>
  <c r="O220" i="1"/>
  <c r="N220" i="1"/>
  <c r="L220" i="1"/>
  <c r="K220" i="1"/>
  <c r="J220" i="1"/>
  <c r="I220" i="1"/>
  <c r="G220" i="1"/>
  <c r="F220" i="1"/>
  <c r="E220" i="1"/>
  <c r="D220" i="1"/>
  <c r="C220" i="1"/>
  <c r="Q219" i="1"/>
  <c r="P219" i="1"/>
  <c r="O219" i="1"/>
  <c r="N219" i="1"/>
  <c r="L219" i="1"/>
  <c r="K219" i="1"/>
  <c r="J219" i="1"/>
  <c r="I219" i="1"/>
  <c r="G219" i="1"/>
  <c r="F219" i="1"/>
  <c r="E219" i="1"/>
  <c r="D219" i="1"/>
  <c r="Q218" i="1"/>
  <c r="P218" i="1"/>
  <c r="O218" i="1"/>
  <c r="N218" i="1"/>
  <c r="L218" i="1"/>
  <c r="K218" i="1"/>
  <c r="J218" i="1"/>
  <c r="I218" i="1"/>
  <c r="G218" i="1"/>
  <c r="F218" i="1"/>
  <c r="E218" i="1"/>
  <c r="D218" i="1"/>
  <c r="Q217" i="1"/>
  <c r="P217" i="1"/>
  <c r="O217" i="1"/>
  <c r="N217" i="1"/>
  <c r="L217" i="1"/>
  <c r="K217" i="1"/>
  <c r="J217" i="1"/>
  <c r="I217" i="1"/>
  <c r="G217" i="1"/>
  <c r="F217" i="1"/>
  <c r="E217" i="1"/>
  <c r="D217" i="1"/>
  <c r="Q216" i="1"/>
  <c r="P216" i="1"/>
  <c r="O216" i="1"/>
  <c r="N216" i="1"/>
  <c r="L216" i="1"/>
  <c r="K216" i="1"/>
  <c r="J216" i="1"/>
  <c r="I216" i="1"/>
  <c r="G216" i="1"/>
  <c r="F216" i="1"/>
  <c r="E216" i="1"/>
  <c r="D216" i="1"/>
  <c r="Q215" i="1"/>
  <c r="P215" i="1"/>
  <c r="O215" i="1"/>
  <c r="N215" i="1"/>
  <c r="L215" i="1"/>
  <c r="K215" i="1"/>
  <c r="J215" i="1"/>
  <c r="I215" i="1"/>
  <c r="G215" i="1"/>
  <c r="F215" i="1"/>
  <c r="E215" i="1"/>
  <c r="D215" i="1"/>
  <c r="Q214" i="1"/>
  <c r="P214" i="1"/>
  <c r="O214" i="1"/>
  <c r="N214" i="1"/>
  <c r="L214" i="1"/>
  <c r="K214" i="1"/>
  <c r="J214" i="1"/>
  <c r="I214" i="1"/>
  <c r="G214" i="1"/>
  <c r="F214" i="1"/>
  <c r="E214" i="1"/>
  <c r="D214" i="1"/>
  <c r="Q213" i="1"/>
  <c r="P213" i="1"/>
  <c r="O213" i="1"/>
  <c r="N213" i="1"/>
  <c r="L213" i="1"/>
  <c r="K213" i="1"/>
  <c r="J213" i="1"/>
  <c r="I213" i="1"/>
  <c r="G213" i="1"/>
  <c r="F213" i="1"/>
  <c r="E213" i="1"/>
  <c r="D213" i="1"/>
  <c r="C213" i="1"/>
  <c r="Q212" i="1"/>
  <c r="P212" i="1"/>
  <c r="O212" i="1"/>
  <c r="N212" i="1"/>
  <c r="L212" i="1"/>
  <c r="K212" i="1"/>
  <c r="J212" i="1"/>
  <c r="I212" i="1"/>
  <c r="G212" i="1"/>
  <c r="F212" i="1"/>
  <c r="E212" i="1"/>
  <c r="D212" i="1"/>
  <c r="C212" i="1"/>
  <c r="Q211" i="1"/>
  <c r="P211" i="1"/>
  <c r="O211" i="1"/>
  <c r="N211" i="1"/>
  <c r="L211" i="1"/>
  <c r="K211" i="1"/>
  <c r="J211" i="1"/>
  <c r="I211" i="1"/>
  <c r="G211" i="1"/>
  <c r="F211" i="1"/>
  <c r="E211" i="1"/>
  <c r="D211" i="1"/>
  <c r="C211" i="1"/>
  <c r="Q210" i="1"/>
  <c r="P210" i="1"/>
  <c r="O210" i="1"/>
  <c r="N210" i="1"/>
  <c r="L210" i="1"/>
  <c r="K210" i="1"/>
  <c r="J210" i="1"/>
  <c r="I210" i="1"/>
  <c r="G210" i="1"/>
  <c r="F210" i="1"/>
  <c r="E210" i="1"/>
  <c r="D210" i="1"/>
  <c r="C210" i="1"/>
  <c r="Q209" i="1"/>
  <c r="P209" i="1"/>
  <c r="O209" i="1"/>
  <c r="N209" i="1"/>
  <c r="L209" i="1"/>
  <c r="K209" i="1"/>
  <c r="J209" i="1"/>
  <c r="I209" i="1"/>
  <c r="G209" i="1"/>
  <c r="F209" i="1"/>
  <c r="E209" i="1"/>
  <c r="D209" i="1"/>
  <c r="C209" i="1"/>
  <c r="Q208" i="1"/>
  <c r="P208" i="1"/>
  <c r="O208" i="1"/>
  <c r="N208" i="1"/>
  <c r="L208" i="1"/>
  <c r="K208" i="1"/>
  <c r="J208" i="1"/>
  <c r="I208" i="1"/>
  <c r="G208" i="1"/>
  <c r="F208" i="1"/>
  <c r="E208" i="1"/>
  <c r="D208" i="1"/>
  <c r="C208" i="1"/>
  <c r="Q207" i="1"/>
  <c r="P207" i="1"/>
  <c r="O207" i="1"/>
  <c r="N207" i="1"/>
  <c r="L207" i="1"/>
  <c r="K207" i="1"/>
  <c r="J207" i="1"/>
  <c r="I207" i="1"/>
  <c r="G207" i="1"/>
  <c r="F207" i="1"/>
  <c r="E207" i="1"/>
  <c r="D207" i="1"/>
  <c r="C207" i="1"/>
  <c r="Q206" i="1"/>
  <c r="P206" i="1"/>
  <c r="O206" i="1"/>
  <c r="N206" i="1"/>
  <c r="L206" i="1"/>
  <c r="K206" i="1"/>
  <c r="J206" i="1"/>
  <c r="I206" i="1"/>
  <c r="G206" i="1"/>
  <c r="F206" i="1"/>
  <c r="E206" i="1"/>
  <c r="D206" i="1"/>
  <c r="Q205" i="1"/>
  <c r="P205" i="1"/>
  <c r="O205" i="1"/>
  <c r="N205" i="1"/>
  <c r="L205" i="1"/>
  <c r="K205" i="1"/>
  <c r="J205" i="1"/>
  <c r="I205" i="1"/>
  <c r="G205" i="1"/>
  <c r="F205" i="1"/>
  <c r="E205" i="1"/>
  <c r="D205" i="1"/>
  <c r="Q204" i="1"/>
  <c r="P204" i="1"/>
  <c r="O204" i="1"/>
  <c r="N204" i="1"/>
  <c r="L204" i="1"/>
  <c r="K204" i="1"/>
  <c r="J204" i="1"/>
  <c r="I204" i="1"/>
  <c r="G204" i="1"/>
  <c r="F204" i="1"/>
  <c r="E204" i="1"/>
  <c r="D204" i="1"/>
  <c r="Q203" i="1"/>
  <c r="P203" i="1"/>
  <c r="O203" i="1"/>
  <c r="N203" i="1"/>
  <c r="L203" i="1"/>
  <c r="K203" i="1"/>
  <c r="J203" i="1"/>
  <c r="I203" i="1"/>
  <c r="G203" i="1"/>
  <c r="F203" i="1"/>
  <c r="E203" i="1"/>
  <c r="D203" i="1"/>
  <c r="Q202" i="1"/>
  <c r="P202" i="1"/>
  <c r="O202" i="1"/>
  <c r="N202" i="1"/>
  <c r="L202" i="1"/>
  <c r="K202" i="1"/>
  <c r="J202" i="1"/>
  <c r="I202" i="1"/>
  <c r="G202" i="1"/>
  <c r="F202" i="1"/>
  <c r="E202" i="1"/>
  <c r="D202" i="1"/>
  <c r="C202" i="1"/>
  <c r="Q201" i="1"/>
  <c r="P201" i="1"/>
  <c r="O201" i="1"/>
  <c r="N201" i="1"/>
  <c r="L201" i="1"/>
  <c r="K201" i="1"/>
  <c r="J201" i="1"/>
  <c r="I201" i="1"/>
  <c r="G201" i="1"/>
  <c r="F201" i="1"/>
  <c r="E201" i="1"/>
  <c r="D201" i="1"/>
  <c r="Q200" i="1"/>
  <c r="P200" i="1"/>
  <c r="O200" i="1"/>
  <c r="N200" i="1"/>
  <c r="L200" i="1"/>
  <c r="K200" i="1"/>
  <c r="J200" i="1"/>
  <c r="I200" i="1"/>
  <c r="G200" i="1"/>
  <c r="F200" i="1"/>
  <c r="E200" i="1"/>
  <c r="D200" i="1"/>
  <c r="Q199" i="1"/>
  <c r="P199" i="1"/>
  <c r="O199" i="1"/>
  <c r="N199" i="1"/>
  <c r="L199" i="1"/>
  <c r="J199" i="1"/>
  <c r="G199" i="1"/>
  <c r="F199" i="1"/>
  <c r="E199" i="1"/>
  <c r="D199" i="1"/>
  <c r="Q198" i="1"/>
  <c r="P198" i="1"/>
  <c r="O198" i="1"/>
  <c r="N198" i="1"/>
  <c r="L198" i="1"/>
  <c r="K198" i="1"/>
  <c r="J198" i="1"/>
  <c r="I198" i="1"/>
  <c r="G198" i="1"/>
  <c r="F198" i="1"/>
  <c r="E198" i="1"/>
  <c r="D198" i="1"/>
  <c r="R195" i="1"/>
  <c r="M195" i="1"/>
  <c r="H195" i="1"/>
  <c r="R194" i="1"/>
  <c r="M194" i="1"/>
  <c r="H194" i="1"/>
  <c r="R193" i="1"/>
  <c r="M193" i="1"/>
  <c r="H193" i="1"/>
  <c r="Q192" i="1"/>
  <c r="P192" i="1"/>
  <c r="O192" i="1"/>
  <c r="N192" i="1"/>
  <c r="L192" i="1"/>
  <c r="K192" i="1"/>
  <c r="J192" i="1"/>
  <c r="I192" i="1"/>
  <c r="G192" i="1"/>
  <c r="F192" i="1"/>
  <c r="E192" i="1"/>
  <c r="D192" i="1"/>
  <c r="C192" i="1"/>
  <c r="R191" i="1"/>
  <c r="M191" i="1"/>
  <c r="G191" i="1"/>
  <c r="F191" i="1"/>
  <c r="E191" i="1"/>
  <c r="D191" i="1"/>
  <c r="R190" i="1"/>
  <c r="M190" i="1"/>
  <c r="H190" i="1"/>
  <c r="C190" i="1"/>
  <c r="R189" i="1"/>
  <c r="M189" i="1"/>
  <c r="H189" i="1"/>
  <c r="C189" i="1"/>
  <c r="Q186" i="1"/>
  <c r="P186" i="1"/>
  <c r="O186" i="1"/>
  <c r="N186" i="1"/>
  <c r="L186" i="1"/>
  <c r="K186" i="1"/>
  <c r="J186" i="1"/>
  <c r="I186" i="1"/>
  <c r="G186" i="1"/>
  <c r="F186" i="1"/>
  <c r="E186" i="1"/>
  <c r="D186" i="1"/>
  <c r="C186" i="1"/>
  <c r="R185" i="1"/>
  <c r="M185" i="1"/>
  <c r="R184" i="1"/>
  <c r="M184" i="1"/>
  <c r="R183" i="1"/>
  <c r="M183" i="1"/>
  <c r="H183" i="1"/>
  <c r="R182" i="1"/>
  <c r="M182" i="1"/>
  <c r="H182" i="1"/>
  <c r="R181" i="1"/>
  <c r="M181" i="1"/>
  <c r="Q179" i="1"/>
  <c r="P179" i="1"/>
  <c r="O179" i="1"/>
  <c r="N179" i="1"/>
  <c r="L179" i="1"/>
  <c r="K179" i="1"/>
  <c r="J179" i="1"/>
  <c r="I179" i="1"/>
  <c r="G179" i="1"/>
  <c r="F179" i="1"/>
  <c r="E179" i="1"/>
  <c r="D179" i="1"/>
  <c r="R178" i="1"/>
  <c r="M178" i="1"/>
  <c r="H178" i="1"/>
  <c r="C178" i="1"/>
  <c r="M177" i="1"/>
  <c r="H177" i="1"/>
  <c r="C177" i="1"/>
  <c r="M176" i="1"/>
  <c r="H176" i="1"/>
  <c r="C176" i="1"/>
  <c r="M175" i="1"/>
  <c r="H175" i="1"/>
  <c r="C175" i="1"/>
  <c r="R174" i="1"/>
  <c r="M174" i="1"/>
  <c r="H174" i="1"/>
  <c r="R173" i="1"/>
  <c r="M173" i="1"/>
  <c r="H173" i="1"/>
  <c r="C173" i="1"/>
  <c r="R172" i="1"/>
  <c r="M172" i="1"/>
  <c r="H172" i="1"/>
  <c r="C172" i="1"/>
  <c r="M171" i="1"/>
  <c r="H171" i="1"/>
  <c r="C171" i="1"/>
  <c r="R170" i="1"/>
  <c r="M170" i="1"/>
  <c r="H170" i="1"/>
  <c r="C170" i="1"/>
  <c r="Q166" i="1"/>
  <c r="P166" i="1"/>
  <c r="O166" i="1"/>
  <c r="N166" i="1"/>
  <c r="L166" i="1"/>
  <c r="K166" i="1"/>
  <c r="J166" i="1"/>
  <c r="I166" i="1"/>
  <c r="G166" i="1"/>
  <c r="F166" i="1"/>
  <c r="E166" i="1"/>
  <c r="D166" i="1"/>
  <c r="R165" i="1"/>
  <c r="M165" i="1"/>
  <c r="H165" i="1"/>
  <c r="C165" i="1"/>
  <c r="C319" i="1" s="1"/>
  <c r="R164" i="1"/>
  <c r="M164" i="1"/>
  <c r="H164" i="1"/>
  <c r="R163" i="1"/>
  <c r="M163" i="1"/>
  <c r="H163" i="1"/>
  <c r="R162" i="1"/>
  <c r="M162" i="1"/>
  <c r="H162" i="1"/>
  <c r="R161" i="1"/>
  <c r="M161" i="1"/>
  <c r="H161" i="1"/>
  <c r="R160" i="1"/>
  <c r="M160" i="1"/>
  <c r="H160" i="1"/>
  <c r="R159" i="1"/>
  <c r="M159" i="1"/>
  <c r="H159" i="1"/>
  <c r="R158" i="1"/>
  <c r="M158" i="1"/>
  <c r="H158" i="1"/>
  <c r="Q156" i="1"/>
  <c r="P156" i="1"/>
  <c r="O156" i="1"/>
  <c r="N156" i="1"/>
  <c r="G156" i="1"/>
  <c r="F156" i="1"/>
  <c r="E156" i="1"/>
  <c r="D156" i="1"/>
  <c r="R155" i="1"/>
  <c r="M155" i="1"/>
  <c r="H155" i="1"/>
  <c r="R154" i="1"/>
  <c r="M154" i="1"/>
  <c r="H154" i="1"/>
  <c r="R153" i="1"/>
  <c r="M153" i="1"/>
  <c r="H153" i="1"/>
  <c r="R152" i="1"/>
  <c r="M152" i="1"/>
  <c r="H152" i="1"/>
  <c r="R151" i="1"/>
  <c r="M151" i="1"/>
  <c r="H151" i="1"/>
  <c r="R150" i="1"/>
  <c r="M150" i="1"/>
  <c r="H150" i="1"/>
  <c r="R149" i="1"/>
  <c r="M149" i="1"/>
  <c r="H149" i="1"/>
  <c r="R148" i="1"/>
  <c r="M148" i="1"/>
  <c r="H148" i="1"/>
  <c r="R147" i="1"/>
  <c r="M147" i="1"/>
  <c r="H147" i="1"/>
  <c r="R146" i="1"/>
  <c r="M146" i="1"/>
  <c r="H146" i="1"/>
  <c r="R145" i="1"/>
  <c r="M145" i="1"/>
  <c r="H145" i="1"/>
  <c r="R144" i="1"/>
  <c r="M144" i="1"/>
  <c r="H144" i="1"/>
  <c r="R143" i="1"/>
  <c r="M143" i="1"/>
  <c r="H143" i="1"/>
  <c r="R142" i="1"/>
  <c r="M142" i="1"/>
  <c r="H142" i="1"/>
  <c r="R141" i="1"/>
  <c r="M141" i="1"/>
  <c r="H141" i="1"/>
  <c r="R140" i="1"/>
  <c r="M140" i="1"/>
  <c r="H140" i="1"/>
  <c r="R139" i="1"/>
  <c r="M139" i="1"/>
  <c r="H139" i="1"/>
  <c r="R138" i="1"/>
  <c r="M138" i="1"/>
  <c r="H138" i="1"/>
  <c r="C138" i="1"/>
  <c r="C277" i="1" s="1"/>
  <c r="R137" i="1"/>
  <c r="M137" i="1"/>
  <c r="R136" i="1"/>
  <c r="L136" i="1"/>
  <c r="K136" i="1"/>
  <c r="K253" i="1" s="1"/>
  <c r="J136" i="1"/>
  <c r="J253" i="1" s="1"/>
  <c r="I136" i="1"/>
  <c r="I253" i="1" s="1"/>
  <c r="H136" i="1"/>
  <c r="R135" i="1"/>
  <c r="M135" i="1"/>
  <c r="H135" i="1"/>
  <c r="R134" i="1"/>
  <c r="M134" i="1"/>
  <c r="R133" i="1"/>
  <c r="M133" i="1"/>
  <c r="R132" i="1"/>
  <c r="M132" i="1"/>
  <c r="H132" i="1"/>
  <c r="C132" i="1"/>
  <c r="R131" i="1"/>
  <c r="M131" i="1"/>
  <c r="H131" i="1"/>
  <c r="R130" i="1"/>
  <c r="M130" i="1"/>
  <c r="R129" i="1"/>
  <c r="M129" i="1"/>
  <c r="H129" i="1"/>
  <c r="R128" i="1"/>
  <c r="M128" i="1"/>
  <c r="H128" i="1"/>
  <c r="R127" i="1"/>
  <c r="M127" i="1"/>
  <c r="H127" i="1"/>
  <c r="C127" i="1"/>
  <c r="C263" i="1" s="1"/>
  <c r="R126" i="1"/>
  <c r="M126" i="1"/>
  <c r="H126" i="1"/>
  <c r="R125" i="1"/>
  <c r="M125" i="1"/>
  <c r="H125" i="1"/>
  <c r="C125" i="1"/>
  <c r="R124" i="1"/>
  <c r="M124" i="1"/>
  <c r="H124" i="1"/>
  <c r="C124" i="1"/>
  <c r="C261" i="1" s="1"/>
  <c r="R123" i="1"/>
  <c r="M123" i="1"/>
  <c r="H123" i="1"/>
  <c r="R122" i="1"/>
  <c r="M122" i="1"/>
  <c r="H122" i="1"/>
  <c r="R121" i="1"/>
  <c r="M121" i="1"/>
  <c r="H121" i="1"/>
  <c r="R120" i="1"/>
  <c r="M120" i="1"/>
  <c r="H120" i="1"/>
  <c r="R119" i="1"/>
  <c r="M119" i="1"/>
  <c r="R118" i="1"/>
  <c r="M118" i="1"/>
  <c r="H118" i="1"/>
  <c r="R117" i="1"/>
  <c r="M117" i="1"/>
  <c r="H117" i="1"/>
  <c r="R116" i="1"/>
  <c r="M116" i="1"/>
  <c r="H116" i="1"/>
  <c r="R115" i="1"/>
  <c r="M115" i="1"/>
  <c r="H115" i="1"/>
  <c r="R114" i="1"/>
  <c r="M114" i="1"/>
  <c r="H114" i="1"/>
  <c r="R113" i="1"/>
  <c r="M113" i="1"/>
  <c r="H113" i="1"/>
  <c r="R112" i="1"/>
  <c r="M112" i="1"/>
  <c r="H112" i="1"/>
  <c r="R111" i="1"/>
  <c r="M111" i="1"/>
  <c r="H111" i="1"/>
  <c r="R110" i="1"/>
  <c r="M110" i="1"/>
  <c r="H110" i="1"/>
  <c r="R109" i="1"/>
  <c r="M109" i="1"/>
  <c r="H109" i="1"/>
  <c r="Q107" i="1"/>
  <c r="P107" i="1"/>
  <c r="O107" i="1"/>
  <c r="N107" i="1"/>
  <c r="L107" i="1"/>
  <c r="K107" i="1"/>
  <c r="J107" i="1"/>
  <c r="I107" i="1"/>
  <c r="G107" i="1"/>
  <c r="F107" i="1"/>
  <c r="E107" i="1"/>
  <c r="D107" i="1"/>
  <c r="R106" i="1"/>
  <c r="M106" i="1"/>
  <c r="H106" i="1"/>
  <c r="R105" i="1"/>
  <c r="M105" i="1"/>
  <c r="H105" i="1"/>
  <c r="R104" i="1"/>
  <c r="M104" i="1"/>
  <c r="H104" i="1"/>
  <c r="R103" i="1"/>
  <c r="M103" i="1"/>
  <c r="H103" i="1"/>
  <c r="R102" i="1"/>
  <c r="M102" i="1"/>
  <c r="H102" i="1"/>
  <c r="R101" i="1"/>
  <c r="M101" i="1"/>
  <c r="H101" i="1"/>
  <c r="R100" i="1"/>
  <c r="M100" i="1"/>
  <c r="H100" i="1"/>
  <c r="R99" i="1"/>
  <c r="M99" i="1"/>
  <c r="H99" i="1"/>
  <c r="R98" i="1"/>
  <c r="M98" i="1"/>
  <c r="H98" i="1"/>
  <c r="R97" i="1"/>
  <c r="M97" i="1"/>
  <c r="H97" i="1"/>
  <c r="R96" i="1"/>
  <c r="M96" i="1"/>
  <c r="H96" i="1"/>
  <c r="R95" i="1"/>
  <c r="M95" i="1"/>
  <c r="H95" i="1"/>
  <c r="R94" i="1"/>
  <c r="M94" i="1"/>
  <c r="H94" i="1"/>
  <c r="R93" i="1"/>
  <c r="M93" i="1"/>
  <c r="H93" i="1"/>
  <c r="R92" i="1"/>
  <c r="M92" i="1"/>
  <c r="H92" i="1"/>
  <c r="R91" i="1"/>
  <c r="M91" i="1"/>
  <c r="H91" i="1"/>
  <c r="R90" i="1"/>
  <c r="M90" i="1"/>
  <c r="H90" i="1"/>
  <c r="R89" i="1"/>
  <c r="M89" i="1"/>
  <c r="H89" i="1"/>
  <c r="R88" i="1"/>
  <c r="M88" i="1"/>
  <c r="H88" i="1"/>
  <c r="R87" i="1"/>
  <c r="M87" i="1"/>
  <c r="H87" i="1"/>
  <c r="R86" i="1"/>
  <c r="M86" i="1"/>
  <c r="H86" i="1"/>
  <c r="R85" i="1"/>
  <c r="M85" i="1"/>
  <c r="H85" i="1"/>
  <c r="R84" i="1"/>
  <c r="M84" i="1"/>
  <c r="H84" i="1"/>
  <c r="R83" i="1"/>
  <c r="M83" i="1"/>
  <c r="H83" i="1"/>
  <c r="C83" i="1"/>
  <c r="C255" i="1" s="1"/>
  <c r="R82" i="1"/>
  <c r="M82" i="1"/>
  <c r="H82" i="1"/>
  <c r="R81" i="1"/>
  <c r="M81" i="1"/>
  <c r="H81" i="1"/>
  <c r="R80" i="1"/>
  <c r="M80" i="1"/>
  <c r="H80" i="1"/>
  <c r="R79" i="1"/>
  <c r="M79" i="1"/>
  <c r="H79" i="1"/>
  <c r="C79" i="1"/>
  <c r="C251" i="1" s="1"/>
  <c r="R78" i="1"/>
  <c r="M78" i="1"/>
  <c r="H78" i="1"/>
  <c r="C78" i="1"/>
  <c r="C250" i="1" s="1"/>
  <c r="R77" i="1"/>
  <c r="M77" i="1"/>
  <c r="H77" i="1"/>
  <c r="C77" i="1"/>
  <c r="C249" i="1" s="1"/>
  <c r="R76" i="1"/>
  <c r="M76" i="1"/>
  <c r="H76" i="1"/>
  <c r="R75" i="1"/>
  <c r="M75" i="1"/>
  <c r="H75" i="1"/>
  <c r="C75" i="1"/>
  <c r="C242" i="1" s="1"/>
  <c r="R74" i="1"/>
  <c r="M74" i="1"/>
  <c r="H74" i="1"/>
  <c r="C74" i="1"/>
  <c r="C241" i="1" s="1"/>
  <c r="R73" i="1"/>
  <c r="M73" i="1"/>
  <c r="H73" i="1"/>
  <c r="C73" i="1"/>
  <c r="C240" i="1" s="1"/>
  <c r="R72" i="1"/>
  <c r="M72" i="1"/>
  <c r="H72" i="1"/>
  <c r="R71" i="1"/>
  <c r="M71" i="1"/>
  <c r="H71" i="1"/>
  <c r="C71" i="1"/>
  <c r="R70" i="1"/>
  <c r="M70" i="1"/>
  <c r="H70" i="1"/>
  <c r="C70" i="1"/>
  <c r="R69" i="1"/>
  <c r="M69" i="1"/>
  <c r="H69" i="1"/>
  <c r="C69" i="1"/>
  <c r="C236" i="1" s="1"/>
  <c r="R68" i="1"/>
  <c r="M68" i="1"/>
  <c r="H68" i="1"/>
  <c r="R67" i="1"/>
  <c r="M67" i="1"/>
  <c r="H67" i="1"/>
  <c r="R66" i="1"/>
  <c r="M66" i="1"/>
  <c r="H66" i="1"/>
  <c r="C66" i="1"/>
  <c r="C233" i="1" s="1"/>
  <c r="R65" i="1"/>
  <c r="M65" i="1"/>
  <c r="H65" i="1"/>
  <c r="C65" i="1"/>
  <c r="C232" i="1" s="1"/>
  <c r="R64" i="1"/>
  <c r="M64" i="1"/>
  <c r="H64" i="1"/>
  <c r="R63" i="1"/>
  <c r="M63" i="1"/>
  <c r="H63" i="1"/>
  <c r="R62" i="1"/>
  <c r="M62" i="1"/>
  <c r="H62" i="1"/>
  <c r="R61" i="1"/>
  <c r="M61" i="1"/>
  <c r="H61" i="1"/>
  <c r="R60" i="1"/>
  <c r="M60" i="1"/>
  <c r="H60" i="1"/>
  <c r="R59" i="1"/>
  <c r="M59" i="1"/>
  <c r="H59" i="1"/>
  <c r="R58" i="1"/>
  <c r="M58" i="1"/>
  <c r="H58" i="1"/>
  <c r="R57" i="1"/>
  <c r="M57" i="1"/>
  <c r="H57" i="1"/>
  <c r="C57" i="1"/>
  <c r="C224" i="1" s="1"/>
  <c r="R56" i="1"/>
  <c r="M56" i="1"/>
  <c r="H56" i="1"/>
  <c r="C56" i="1"/>
  <c r="C223" i="1" s="1"/>
  <c r="R55" i="1"/>
  <c r="M55" i="1"/>
  <c r="H55" i="1"/>
  <c r="R54" i="1"/>
  <c r="M54" i="1"/>
  <c r="H54" i="1"/>
  <c r="R53" i="1"/>
  <c r="M53" i="1"/>
  <c r="H53" i="1"/>
  <c r="R52" i="1"/>
  <c r="M52" i="1"/>
  <c r="H52" i="1"/>
  <c r="C52" i="1"/>
  <c r="C219" i="1" s="1"/>
  <c r="R51" i="1"/>
  <c r="M51" i="1"/>
  <c r="H51" i="1"/>
  <c r="C51" i="1"/>
  <c r="C218" i="1" s="1"/>
  <c r="R50" i="1"/>
  <c r="M50" i="1"/>
  <c r="H50" i="1"/>
  <c r="C50" i="1"/>
  <c r="C217" i="1" s="1"/>
  <c r="R49" i="1"/>
  <c r="M49" i="1"/>
  <c r="H49" i="1"/>
  <c r="C49" i="1"/>
  <c r="C216" i="1" s="1"/>
  <c r="R45" i="1"/>
  <c r="Q45" i="1"/>
  <c r="P45" i="1"/>
  <c r="O45" i="1"/>
  <c r="N45" i="1"/>
  <c r="M45" i="1"/>
  <c r="L45" i="1"/>
  <c r="K45" i="1"/>
  <c r="J45" i="1"/>
  <c r="I45" i="1"/>
  <c r="G45" i="1"/>
  <c r="F45" i="1"/>
  <c r="E45" i="1"/>
  <c r="H44" i="1"/>
  <c r="S44" i="1" s="1"/>
  <c r="C44" i="1"/>
  <c r="C215" i="1" s="1"/>
  <c r="H43" i="1"/>
  <c r="S43" i="1" s="1"/>
  <c r="C43" i="1"/>
  <c r="Q41" i="1"/>
  <c r="P41" i="1"/>
  <c r="O41" i="1"/>
  <c r="N41" i="1"/>
  <c r="L41" i="1"/>
  <c r="K41" i="1"/>
  <c r="J41" i="1"/>
  <c r="I41" i="1"/>
  <c r="H41" i="1"/>
  <c r="G41" i="1"/>
  <c r="F41" i="1"/>
  <c r="E41" i="1"/>
  <c r="D41" i="1"/>
  <c r="C41" i="1"/>
  <c r="R40" i="1"/>
  <c r="M40" i="1"/>
  <c r="R39" i="1"/>
  <c r="M39" i="1"/>
  <c r="Q36" i="1"/>
  <c r="P36" i="1"/>
  <c r="O36" i="1"/>
  <c r="N36" i="1"/>
  <c r="L36" i="1"/>
  <c r="K36" i="1"/>
  <c r="J36" i="1"/>
  <c r="I36" i="1"/>
  <c r="G36" i="1"/>
  <c r="F36" i="1"/>
  <c r="E36" i="1"/>
  <c r="D36" i="1"/>
  <c r="C36" i="1"/>
  <c r="R35" i="1"/>
  <c r="M35" i="1"/>
  <c r="R34" i="1"/>
  <c r="M34" i="1"/>
  <c r="R33" i="1"/>
  <c r="M33" i="1"/>
  <c r="R32" i="1"/>
  <c r="M32" i="1"/>
  <c r="H32" i="1"/>
  <c r="R31" i="1"/>
  <c r="M31" i="1"/>
  <c r="Q29" i="1"/>
  <c r="Q37" i="1" s="1"/>
  <c r="P29" i="1"/>
  <c r="P37" i="1" s="1"/>
  <c r="O29" i="1"/>
  <c r="N29" i="1"/>
  <c r="L29" i="1"/>
  <c r="J29" i="1"/>
  <c r="G29" i="1"/>
  <c r="F29" i="1"/>
  <c r="E29" i="1"/>
  <c r="D29" i="1"/>
  <c r="R28" i="1"/>
  <c r="M28" i="1"/>
  <c r="H28" i="1"/>
  <c r="C28" i="1"/>
  <c r="M27" i="1"/>
  <c r="H27" i="1"/>
  <c r="C27" i="1"/>
  <c r="M26" i="1"/>
  <c r="H26" i="1"/>
  <c r="C26" i="1"/>
  <c r="M25" i="1"/>
  <c r="H25" i="1"/>
  <c r="C25" i="1"/>
  <c r="R24" i="1"/>
  <c r="M24" i="1"/>
  <c r="H24" i="1"/>
  <c r="R23" i="1"/>
  <c r="M23" i="1"/>
  <c r="H23" i="1"/>
  <c r="C23" i="1"/>
  <c r="R22" i="1"/>
  <c r="M22" i="1"/>
  <c r="H22" i="1"/>
  <c r="C22" i="1"/>
  <c r="C200" i="1" s="1"/>
  <c r="K21" i="1"/>
  <c r="K199" i="1" s="1"/>
  <c r="I21" i="1"/>
  <c r="H21" i="1"/>
  <c r="C21" i="1"/>
  <c r="R20" i="1"/>
  <c r="M20" i="1"/>
  <c r="H20" i="1"/>
  <c r="C20" i="1"/>
  <c r="Q17" i="1"/>
  <c r="P17" i="1"/>
  <c r="O17" i="1"/>
  <c r="N17" i="1"/>
  <c r="L17" i="1"/>
  <c r="K17" i="1"/>
  <c r="J17" i="1"/>
  <c r="I17" i="1"/>
  <c r="H17" i="1"/>
  <c r="G17" i="1"/>
  <c r="F17" i="1"/>
  <c r="E17" i="1"/>
  <c r="D17" i="1"/>
  <c r="C17" i="1"/>
  <c r="R16" i="1"/>
  <c r="M16" i="1"/>
  <c r="R15" i="1"/>
  <c r="M15" i="1"/>
  <c r="R12" i="1"/>
  <c r="M12" i="1"/>
  <c r="H12" i="1"/>
  <c r="R11" i="1"/>
  <c r="M11" i="1"/>
  <c r="G11" i="1"/>
  <c r="F11" i="1"/>
  <c r="E11" i="1"/>
  <c r="D11" i="1"/>
  <c r="C11" i="1"/>
  <c r="H191" i="1" l="1"/>
  <c r="S191" i="1" s="1"/>
  <c r="C203" i="1"/>
  <c r="S342" i="1"/>
  <c r="S344" i="1"/>
  <c r="S16" i="1"/>
  <c r="C205" i="1"/>
  <c r="C237" i="1"/>
  <c r="S162" i="1"/>
  <c r="S78" i="1"/>
  <c r="N167" i="1"/>
  <c r="S130" i="1"/>
  <c r="F348" i="1"/>
  <c r="N348" i="1"/>
  <c r="M36" i="1"/>
  <c r="S50" i="1"/>
  <c r="S68" i="1"/>
  <c r="S76" i="1"/>
  <c r="G167" i="1"/>
  <c r="S172" i="1"/>
  <c r="F187" i="1"/>
  <c r="N187" i="1"/>
  <c r="F197" i="1"/>
  <c r="N197" i="1"/>
  <c r="R237" i="1"/>
  <c r="R238" i="1"/>
  <c r="H243" i="1"/>
  <c r="H252" i="1"/>
  <c r="R254" i="1"/>
  <c r="H257" i="1"/>
  <c r="M259" i="1"/>
  <c r="R262" i="1"/>
  <c r="R263" i="1"/>
  <c r="M273" i="1"/>
  <c r="R275" i="1"/>
  <c r="H278" i="1"/>
  <c r="M280" i="1"/>
  <c r="R282" i="1"/>
  <c r="H284" i="1"/>
  <c r="H290" i="1"/>
  <c r="M292" i="1"/>
  <c r="R294" i="1"/>
  <c r="H296" i="1"/>
  <c r="R300" i="1"/>
  <c r="H302" i="1"/>
  <c r="M304" i="1"/>
  <c r="C204" i="1"/>
  <c r="C206" i="1"/>
  <c r="S40" i="1"/>
  <c r="S55" i="1"/>
  <c r="S158" i="1"/>
  <c r="S165" i="1"/>
  <c r="S171" i="1"/>
  <c r="P187" i="1"/>
  <c r="Q348" i="1"/>
  <c r="S53" i="1"/>
  <c r="S66" i="1"/>
  <c r="S134" i="1"/>
  <c r="S164" i="1"/>
  <c r="C179" i="1"/>
  <c r="C187" i="1" s="1"/>
  <c r="E348" i="1"/>
  <c r="S351" i="1"/>
  <c r="S159" i="1"/>
  <c r="S170" i="1"/>
  <c r="M41" i="1"/>
  <c r="S52" i="1"/>
  <c r="S54" i="1"/>
  <c r="S83" i="1"/>
  <c r="S85" i="1"/>
  <c r="S87" i="1"/>
  <c r="S89" i="1"/>
  <c r="S91" i="1"/>
  <c r="S93" i="1"/>
  <c r="S95" i="1"/>
  <c r="S97" i="1"/>
  <c r="S99" i="1"/>
  <c r="S101" i="1"/>
  <c r="S103" i="1"/>
  <c r="S105" i="1"/>
  <c r="S128" i="1"/>
  <c r="S135" i="1"/>
  <c r="S138" i="1"/>
  <c r="S140" i="1"/>
  <c r="S142" i="1"/>
  <c r="S144" i="1"/>
  <c r="S146" i="1"/>
  <c r="S148" i="1"/>
  <c r="S150" i="1"/>
  <c r="S152" i="1"/>
  <c r="S154" i="1"/>
  <c r="L187" i="1"/>
  <c r="S58" i="1"/>
  <c r="S64" i="1"/>
  <c r="S12" i="1"/>
  <c r="S120" i="1"/>
  <c r="C29" i="1"/>
  <c r="C37" i="1" s="1"/>
  <c r="C201" i="1"/>
  <c r="J37" i="1"/>
  <c r="S73" i="1"/>
  <c r="S160" i="1"/>
  <c r="R200" i="1"/>
  <c r="R201" i="1"/>
  <c r="H207" i="1"/>
  <c r="M209" i="1"/>
  <c r="R211" i="1"/>
  <c r="H213" i="1"/>
  <c r="H214" i="1"/>
  <c r="H215" i="1"/>
  <c r="E311" i="1"/>
  <c r="D311" i="1"/>
  <c r="R317" i="1"/>
  <c r="S323" i="1"/>
  <c r="S325" i="1"/>
  <c r="S327" i="1"/>
  <c r="S329" i="1"/>
  <c r="S331" i="1"/>
  <c r="S333" i="1"/>
  <c r="S341" i="1"/>
  <c r="J348" i="1"/>
  <c r="K29" i="1"/>
  <c r="K37" i="1" s="1"/>
  <c r="S174" i="1"/>
  <c r="S176" i="1"/>
  <c r="S178" i="1"/>
  <c r="G187" i="1"/>
  <c r="O187" i="1"/>
  <c r="D348" i="1"/>
  <c r="K348" i="1"/>
  <c r="S23" i="1"/>
  <c r="S39" i="1"/>
  <c r="S122" i="1"/>
  <c r="S131" i="1"/>
  <c r="S185" i="1"/>
  <c r="I187" i="1"/>
  <c r="D37" i="1"/>
  <c r="S62" i="1"/>
  <c r="S67" i="1"/>
  <c r="S34" i="1"/>
  <c r="C199" i="1"/>
  <c r="S35" i="1"/>
  <c r="S69" i="1"/>
  <c r="S71" i="1"/>
  <c r="P167" i="1"/>
  <c r="S126" i="1"/>
  <c r="S133" i="1"/>
  <c r="S163" i="1"/>
  <c r="M237" i="1"/>
  <c r="S60" i="1"/>
  <c r="S161" i="1"/>
  <c r="M17" i="1"/>
  <c r="S74" i="1"/>
  <c r="Q167" i="1"/>
  <c r="K156" i="1"/>
  <c r="D187" i="1"/>
  <c r="R223" i="1"/>
  <c r="H226" i="1"/>
  <c r="R230" i="1"/>
  <c r="H234" i="1"/>
  <c r="I348" i="1"/>
  <c r="P348" i="1"/>
  <c r="M21" i="1"/>
  <c r="S21" i="1" s="1"/>
  <c r="I199" i="1"/>
  <c r="M199" i="1" s="1"/>
  <c r="G37" i="1"/>
  <c r="H45" i="1"/>
  <c r="S45" i="1" s="1"/>
  <c r="S56" i="1"/>
  <c r="S125" i="1"/>
  <c r="H200" i="1"/>
  <c r="M207" i="1"/>
  <c r="R209" i="1"/>
  <c r="H211" i="1"/>
  <c r="M213" i="1"/>
  <c r="M214" i="1"/>
  <c r="G197" i="1"/>
  <c r="R220" i="1"/>
  <c r="H222" i="1"/>
  <c r="H224" i="1"/>
  <c r="M226" i="1"/>
  <c r="H230" i="1"/>
  <c r="M234" i="1"/>
  <c r="E46" i="1"/>
  <c r="E37" i="1"/>
  <c r="C45" i="1"/>
  <c r="S132" i="1"/>
  <c r="J311" i="1"/>
  <c r="N311" i="1"/>
  <c r="S340" i="1"/>
  <c r="R41" i="1"/>
  <c r="S110" i="1"/>
  <c r="S112" i="1"/>
  <c r="S114" i="1"/>
  <c r="S116" i="1"/>
  <c r="S118" i="1"/>
  <c r="S124" i="1"/>
  <c r="H199" i="1"/>
  <c r="S81" i="1"/>
  <c r="R29" i="1"/>
  <c r="L37" i="1"/>
  <c r="S57" i="1"/>
  <c r="S59" i="1"/>
  <c r="S61" i="1"/>
  <c r="S63" i="1"/>
  <c r="S65" i="1"/>
  <c r="S75" i="1"/>
  <c r="S77" i="1"/>
  <c r="F167" i="1"/>
  <c r="S137" i="1"/>
  <c r="S139" i="1"/>
  <c r="S141" i="1"/>
  <c r="S143" i="1"/>
  <c r="S145" i="1"/>
  <c r="S147" i="1"/>
  <c r="S149" i="1"/>
  <c r="S151" i="1"/>
  <c r="S153" i="1"/>
  <c r="S155" i="1"/>
  <c r="M166" i="1"/>
  <c r="R179" i="1"/>
  <c r="S173" i="1"/>
  <c r="S175" i="1"/>
  <c r="S177" i="1"/>
  <c r="K187" i="1"/>
  <c r="S181" i="1"/>
  <c r="J187" i="1"/>
  <c r="Q187" i="1"/>
  <c r="S190" i="1"/>
  <c r="M192" i="1"/>
  <c r="J197" i="1"/>
  <c r="Q197" i="1"/>
  <c r="M202" i="1"/>
  <c r="M203" i="1"/>
  <c r="M204" i="1"/>
  <c r="M205" i="1"/>
  <c r="M206" i="1"/>
  <c r="R208" i="1"/>
  <c r="H210" i="1"/>
  <c r="R216" i="1"/>
  <c r="R217" i="1"/>
  <c r="R219" i="1"/>
  <c r="R227" i="1"/>
  <c r="M231" i="1"/>
  <c r="M232" i="1"/>
  <c r="R236" i="1"/>
  <c r="H240" i="1"/>
  <c r="H242" i="1"/>
  <c r="R246" i="1"/>
  <c r="H248" i="1"/>
  <c r="H251" i="1"/>
  <c r="R253" i="1"/>
  <c r="H256" i="1"/>
  <c r="M258" i="1"/>
  <c r="R261" i="1"/>
  <c r="H264" i="1"/>
  <c r="R268" i="1"/>
  <c r="M272" i="1"/>
  <c r="H277" i="1"/>
  <c r="M279" i="1"/>
  <c r="H283" i="1"/>
  <c r="R287" i="1"/>
  <c r="H289" i="1"/>
  <c r="M291" i="1"/>
  <c r="H295" i="1"/>
  <c r="R299" i="1"/>
  <c r="H301" i="1"/>
  <c r="M303" i="1"/>
  <c r="H307" i="1"/>
  <c r="H312" i="1"/>
  <c r="M314" i="1"/>
  <c r="H318" i="1"/>
  <c r="S345" i="1"/>
  <c r="C348" i="1"/>
  <c r="M350" i="1"/>
  <c r="S15" i="1"/>
  <c r="R17" i="1"/>
  <c r="S22" i="1"/>
  <c r="S24" i="1"/>
  <c r="S28" i="1"/>
  <c r="F46" i="1"/>
  <c r="O37" i="1"/>
  <c r="F37" i="1"/>
  <c r="N37" i="1"/>
  <c r="S80" i="1"/>
  <c r="S82" i="1"/>
  <c r="S84" i="1"/>
  <c r="S86" i="1"/>
  <c r="S88" i="1"/>
  <c r="S90" i="1"/>
  <c r="S92" i="1"/>
  <c r="S94" i="1"/>
  <c r="S96" i="1"/>
  <c r="S98" i="1"/>
  <c r="S100" i="1"/>
  <c r="S102" i="1"/>
  <c r="S104" i="1"/>
  <c r="S106" i="1"/>
  <c r="R156" i="1"/>
  <c r="H166" i="1"/>
  <c r="S184" i="1"/>
  <c r="E187" i="1"/>
  <c r="S189" i="1"/>
  <c r="H192" i="1"/>
  <c r="S193" i="1"/>
  <c r="S195" i="1"/>
  <c r="E197" i="1"/>
  <c r="H202" i="1"/>
  <c r="M216" i="1"/>
  <c r="M217" i="1"/>
  <c r="M218" i="1"/>
  <c r="R221" i="1"/>
  <c r="M227" i="1"/>
  <c r="H232" i="1"/>
  <c r="M235" i="1"/>
  <c r="M236" i="1"/>
  <c r="R239" i="1"/>
  <c r="R242" i="1"/>
  <c r="H244" i="1"/>
  <c r="R248" i="1"/>
  <c r="R249" i="1"/>
  <c r="R250" i="1"/>
  <c r="H253" i="1"/>
  <c r="M261" i="1"/>
  <c r="H266" i="1"/>
  <c r="M268" i="1"/>
  <c r="M274" i="1"/>
  <c r="R276" i="1"/>
  <c r="H279" i="1"/>
  <c r="R283" i="1"/>
  <c r="H285" i="1"/>
  <c r="M287" i="1"/>
  <c r="H291" i="1"/>
  <c r="R295" i="1"/>
  <c r="H297" i="1"/>
  <c r="M299" i="1"/>
  <c r="H303" i="1"/>
  <c r="R307" i="1"/>
  <c r="H309" i="1"/>
  <c r="L311" i="1"/>
  <c r="H314" i="1"/>
  <c r="K311" i="1"/>
  <c r="M316" i="1"/>
  <c r="R318" i="1"/>
  <c r="R319" i="1"/>
  <c r="S335" i="1"/>
  <c r="S337" i="1"/>
  <c r="S338" i="1"/>
  <c r="S346" i="1"/>
  <c r="L348" i="1"/>
  <c r="H350" i="1"/>
  <c r="M238" i="1"/>
  <c r="M247" i="1"/>
  <c r="M255" i="1"/>
  <c r="R257" i="1"/>
  <c r="H259" i="1"/>
  <c r="M262" i="1"/>
  <c r="M263" i="1"/>
  <c r="M269" i="1"/>
  <c r="R271" i="1"/>
  <c r="H273" i="1"/>
  <c r="R278" i="1"/>
  <c r="H280" i="1"/>
  <c r="H286" i="1"/>
  <c r="M288" i="1"/>
  <c r="R290" i="1"/>
  <c r="H292" i="1"/>
  <c r="H298" i="1"/>
  <c r="M300" i="1"/>
  <c r="R308" i="1"/>
  <c r="H310" i="1"/>
  <c r="R313" i="1"/>
  <c r="M317" i="1"/>
  <c r="R320" i="1"/>
  <c r="H11" i="1"/>
  <c r="S11" i="1" s="1"/>
  <c r="K197" i="1"/>
  <c r="J46" i="1"/>
  <c r="Q46" i="1"/>
  <c r="S33" i="1"/>
  <c r="S49" i="1"/>
  <c r="S51" i="1"/>
  <c r="S70" i="1"/>
  <c r="S72" i="1"/>
  <c r="D167" i="1"/>
  <c r="K167" i="1"/>
  <c r="S109" i="1"/>
  <c r="S111" i="1"/>
  <c r="S113" i="1"/>
  <c r="S115" i="1"/>
  <c r="S117" i="1"/>
  <c r="S119" i="1"/>
  <c r="S121" i="1"/>
  <c r="S123" i="1"/>
  <c r="C156" i="1"/>
  <c r="S127" i="1"/>
  <c r="S129" i="1"/>
  <c r="C191" i="1"/>
  <c r="R192" i="1"/>
  <c r="O197" i="1"/>
  <c r="R204" i="1"/>
  <c r="R205" i="1"/>
  <c r="R212" i="1"/>
  <c r="H218" i="1"/>
  <c r="H219" i="1"/>
  <c r="M221" i="1"/>
  <c r="R231" i="1"/>
  <c r="R232" i="1"/>
  <c r="R233" i="1"/>
  <c r="H235" i="1"/>
  <c r="H236" i="1"/>
  <c r="M239" i="1"/>
  <c r="M242" i="1"/>
  <c r="R244" i="1"/>
  <c r="H246" i="1"/>
  <c r="M251" i="1"/>
  <c r="R258" i="1"/>
  <c r="H260" i="1"/>
  <c r="H261" i="1"/>
  <c r="M270" i="1"/>
  <c r="R272" i="1"/>
  <c r="M276" i="1"/>
  <c r="R279" i="1"/>
  <c r="H281" i="1"/>
  <c r="M283" i="1"/>
  <c r="H287" i="1"/>
  <c r="R291" i="1"/>
  <c r="H293" i="1"/>
  <c r="M295" i="1"/>
  <c r="H299" i="1"/>
  <c r="R303" i="1"/>
  <c r="H305" i="1"/>
  <c r="M307" i="1"/>
  <c r="I311" i="1"/>
  <c r="R314" i="1"/>
  <c r="H316" i="1"/>
  <c r="M318" i="1"/>
  <c r="M319" i="1"/>
  <c r="G348" i="1"/>
  <c r="S79" i="1"/>
  <c r="E167" i="1"/>
  <c r="M179" i="1"/>
  <c r="S183" i="1"/>
  <c r="S194" i="1"/>
  <c r="M200" i="1"/>
  <c r="M201" i="1"/>
  <c r="R207" i="1"/>
  <c r="H209" i="1"/>
  <c r="M211" i="1"/>
  <c r="R213" i="1"/>
  <c r="M222" i="1"/>
  <c r="M223" i="1"/>
  <c r="R226" i="1"/>
  <c r="H228" i="1"/>
  <c r="M230" i="1"/>
  <c r="R234" i="1"/>
  <c r="M243" i="1"/>
  <c r="R245" i="1"/>
  <c r="H247" i="1"/>
  <c r="H255" i="1"/>
  <c r="M257" i="1"/>
  <c r="R267" i="1"/>
  <c r="H269" i="1"/>
  <c r="H282" i="1"/>
  <c r="M284" i="1"/>
  <c r="R286" i="1"/>
  <c r="H288" i="1"/>
  <c r="H294" i="1"/>
  <c r="M296" i="1"/>
  <c r="R298" i="1"/>
  <c r="H300" i="1"/>
  <c r="R304" i="1"/>
  <c r="H306" i="1"/>
  <c r="M308" i="1"/>
  <c r="Q311" i="1"/>
  <c r="M313" i="1"/>
  <c r="P311" i="1"/>
  <c r="G311" i="1"/>
  <c r="O311" i="1"/>
  <c r="F311" i="1"/>
  <c r="R315" i="1"/>
  <c r="H317" i="1"/>
  <c r="M320" i="1"/>
  <c r="S322" i="1"/>
  <c r="S324" i="1"/>
  <c r="S326" i="1"/>
  <c r="S328" i="1"/>
  <c r="S330" i="1"/>
  <c r="S332" i="1"/>
  <c r="S334" i="1"/>
  <c r="S336" i="1"/>
  <c r="M349" i="1"/>
  <c r="R202" i="1"/>
  <c r="H107" i="1"/>
  <c r="H204" i="1"/>
  <c r="S26" i="1"/>
  <c r="S32" i="1"/>
  <c r="H36" i="1"/>
  <c r="O167" i="1"/>
  <c r="R166" i="1"/>
  <c r="R186" i="1"/>
  <c r="M186" i="1"/>
  <c r="M210" i="1"/>
  <c r="S20" i="1"/>
  <c r="M198" i="1"/>
  <c r="H205" i="1"/>
  <c r="S27" i="1"/>
  <c r="R36" i="1"/>
  <c r="O46" i="1"/>
  <c r="H29" i="1"/>
  <c r="H203" i="1"/>
  <c r="S25" i="1"/>
  <c r="N46" i="1"/>
  <c r="G46" i="1"/>
  <c r="C107" i="1"/>
  <c r="L253" i="1"/>
  <c r="L197" i="1" s="1"/>
  <c r="L156" i="1"/>
  <c r="L167" i="1" s="1"/>
  <c r="H156" i="1"/>
  <c r="H179" i="1"/>
  <c r="H186" i="1"/>
  <c r="S182" i="1"/>
  <c r="H206" i="1"/>
  <c r="M107" i="1"/>
  <c r="M136" i="1"/>
  <c r="S136" i="1" s="1"/>
  <c r="R198" i="1"/>
  <c r="R199" i="1"/>
  <c r="R203" i="1"/>
  <c r="R214" i="1"/>
  <c r="H216" i="1"/>
  <c r="M219" i="1"/>
  <c r="H237" i="1"/>
  <c r="M244" i="1"/>
  <c r="R251" i="1"/>
  <c r="R259" i="1"/>
  <c r="P46" i="1"/>
  <c r="I29" i="1"/>
  <c r="C214" i="1"/>
  <c r="R107" i="1"/>
  <c r="I156" i="1"/>
  <c r="C166" i="1"/>
  <c r="R206" i="1"/>
  <c r="H208" i="1"/>
  <c r="M208" i="1"/>
  <c r="R210" i="1"/>
  <c r="H212" i="1"/>
  <c r="M212" i="1"/>
  <c r="H221" i="1"/>
  <c r="M312" i="1"/>
  <c r="D46" i="1"/>
  <c r="L46" i="1"/>
  <c r="C198" i="1"/>
  <c r="S31" i="1"/>
  <c r="C238" i="1"/>
  <c r="J156" i="1"/>
  <c r="J167" i="1" s="1"/>
  <c r="D197" i="1"/>
  <c r="H198" i="1"/>
  <c r="P197" i="1"/>
  <c r="H201" i="1"/>
  <c r="M215" i="1"/>
  <c r="R215" i="1"/>
  <c r="H217" i="1"/>
  <c r="R218" i="1"/>
  <c r="H220" i="1"/>
  <c r="M220" i="1"/>
  <c r="R222" i="1"/>
  <c r="H223" i="1"/>
  <c r="H239" i="1"/>
  <c r="M246" i="1"/>
  <c r="M248" i="1"/>
  <c r="R255" i="1"/>
  <c r="M224" i="1"/>
  <c r="R224" i="1"/>
  <c r="M228" i="1"/>
  <c r="R228" i="1"/>
  <c r="H233" i="1"/>
  <c r="M233" i="1"/>
  <c r="H238" i="1"/>
  <c r="M240" i="1"/>
  <c r="R240" i="1"/>
  <c r="H245" i="1"/>
  <c r="M245" i="1"/>
  <c r="H249" i="1"/>
  <c r="M249" i="1"/>
  <c r="H258" i="1"/>
  <c r="H262" i="1"/>
  <c r="M264" i="1"/>
  <c r="R264" i="1"/>
  <c r="H225" i="1"/>
  <c r="M225" i="1"/>
  <c r="R225" i="1"/>
  <c r="H227" i="1"/>
  <c r="H229" i="1"/>
  <c r="M229" i="1"/>
  <c r="R229" i="1"/>
  <c r="H231" i="1"/>
  <c r="R235" i="1"/>
  <c r="H241" i="1"/>
  <c r="M241" i="1"/>
  <c r="R241" i="1"/>
  <c r="R243" i="1"/>
  <c r="R247" i="1"/>
  <c r="H250" i="1"/>
  <c r="M250" i="1"/>
  <c r="M252" i="1"/>
  <c r="R252" i="1"/>
  <c r="H254" i="1"/>
  <c r="M254" i="1"/>
  <c r="M256" i="1"/>
  <c r="R256" i="1"/>
  <c r="M260" i="1"/>
  <c r="R260" i="1"/>
  <c r="H263" i="1"/>
  <c r="H265" i="1"/>
  <c r="M265" i="1"/>
  <c r="R265" i="1"/>
  <c r="H267" i="1"/>
  <c r="M267" i="1"/>
  <c r="H271" i="1"/>
  <c r="M271" i="1"/>
  <c r="H275" i="1"/>
  <c r="M275" i="1"/>
  <c r="M277" i="1"/>
  <c r="R277" i="1"/>
  <c r="M281" i="1"/>
  <c r="R281" i="1"/>
  <c r="M285" i="1"/>
  <c r="R285" i="1"/>
  <c r="M289" i="1"/>
  <c r="R289" i="1"/>
  <c r="M293" i="1"/>
  <c r="R293" i="1"/>
  <c r="M297" i="1"/>
  <c r="R297" i="1"/>
  <c r="M301" i="1"/>
  <c r="R301" i="1"/>
  <c r="M305" i="1"/>
  <c r="R305" i="1"/>
  <c r="M309" i="1"/>
  <c r="R309" i="1"/>
  <c r="R312" i="1"/>
  <c r="R316" i="1"/>
  <c r="H319" i="1"/>
  <c r="S321" i="1"/>
  <c r="H320" i="1"/>
  <c r="S339" i="1"/>
  <c r="H349" i="1"/>
  <c r="R269" i="1"/>
  <c r="R273" i="1"/>
  <c r="M278" i="1"/>
  <c r="M282" i="1"/>
  <c r="M286" i="1"/>
  <c r="M290" i="1"/>
  <c r="M294" i="1"/>
  <c r="M298" i="1"/>
  <c r="M302" i="1"/>
  <c r="R302" i="1"/>
  <c r="H304" i="1"/>
  <c r="M306" i="1"/>
  <c r="R306" i="1"/>
  <c r="H308" i="1"/>
  <c r="M310" i="1"/>
  <c r="R310" i="1"/>
  <c r="H313" i="1"/>
  <c r="H315" i="1"/>
  <c r="M315" i="1"/>
  <c r="S343" i="1"/>
  <c r="R349" i="1"/>
  <c r="M266" i="1"/>
  <c r="R266" i="1"/>
  <c r="H268" i="1"/>
  <c r="H270" i="1"/>
  <c r="R270" i="1"/>
  <c r="H272" i="1"/>
  <c r="H274" i="1"/>
  <c r="R274" i="1"/>
  <c r="H276" i="1"/>
  <c r="R280" i="1"/>
  <c r="R284" i="1"/>
  <c r="R288" i="1"/>
  <c r="R292" i="1"/>
  <c r="R296" i="1"/>
  <c r="C311" i="1"/>
  <c r="S347" i="1"/>
  <c r="O348" i="1"/>
  <c r="R350" i="1"/>
  <c r="P10" i="1" l="1"/>
  <c r="N196" i="1"/>
  <c r="R46" i="1"/>
  <c r="S17" i="1"/>
  <c r="S294" i="1"/>
  <c r="N10" i="1"/>
  <c r="S238" i="1"/>
  <c r="S261" i="1"/>
  <c r="Q10" i="1"/>
  <c r="M348" i="1"/>
  <c r="S41" i="1"/>
  <c r="D10" i="1"/>
  <c r="S291" i="1"/>
  <c r="S276" i="1"/>
  <c r="S290" i="1"/>
  <c r="S258" i="1"/>
  <c r="S246" i="1"/>
  <c r="S200" i="1"/>
  <c r="S239" i="1"/>
  <c r="S221" i="1"/>
  <c r="S179" i="1"/>
  <c r="S209" i="1"/>
  <c r="I197" i="1"/>
  <c r="I196" i="1" s="1"/>
  <c r="E10" i="1"/>
  <c r="S283" i="1"/>
  <c r="R187" i="1"/>
  <c r="S231" i="1"/>
  <c r="S280" i="1"/>
  <c r="S278" i="1"/>
  <c r="S247" i="1"/>
  <c r="J10" i="1"/>
  <c r="R311" i="1"/>
  <c r="S257" i="1"/>
  <c r="E196" i="1"/>
  <c r="M311" i="1"/>
  <c r="S303" i="1"/>
  <c r="S226" i="1"/>
  <c r="S300" i="1"/>
  <c r="S298" i="1"/>
  <c r="H311" i="1"/>
  <c r="S307" i="1"/>
  <c r="M187" i="1"/>
  <c r="S279" i="1"/>
  <c r="S268" i="1"/>
  <c r="S259" i="1"/>
  <c r="S214" i="1"/>
  <c r="S242" i="1"/>
  <c r="S313" i="1"/>
  <c r="S248" i="1"/>
  <c r="S282" i="1"/>
  <c r="S198" i="1"/>
  <c r="K196" i="1"/>
  <c r="H348" i="1"/>
  <c r="S284" i="1"/>
  <c r="S308" i="1"/>
  <c r="S201" i="1"/>
  <c r="M253" i="1"/>
  <c r="S253" i="1" s="1"/>
  <c r="S202" i="1"/>
  <c r="S207" i="1"/>
  <c r="S299" i="1"/>
  <c r="S234" i="1"/>
  <c r="S213" i="1"/>
  <c r="S296" i="1"/>
  <c r="S251" i="1"/>
  <c r="S295" i="1"/>
  <c r="S302" i="1"/>
  <c r="S249" i="1"/>
  <c r="S223" i="1"/>
  <c r="S215" i="1"/>
  <c r="S237" i="1"/>
  <c r="S230" i="1"/>
  <c r="F10" i="1"/>
  <c r="K46" i="1"/>
  <c r="K10" i="1" s="1"/>
  <c r="S288" i="1"/>
  <c r="S301" i="1"/>
  <c r="S289" i="1"/>
  <c r="S267" i="1"/>
  <c r="S252" i="1"/>
  <c r="S229" i="1"/>
  <c r="S224" i="1"/>
  <c r="P196" i="1"/>
  <c r="C197" i="1"/>
  <c r="C196" i="1" s="1"/>
  <c r="S219" i="1"/>
  <c r="S287" i="1"/>
  <c r="S232" i="1"/>
  <c r="H187" i="1"/>
  <c r="S273" i="1"/>
  <c r="S277" i="1"/>
  <c r="S306" i="1"/>
  <c r="S320" i="1"/>
  <c r="S217" i="1"/>
  <c r="G10" i="1"/>
  <c r="M29" i="1"/>
  <c r="M46" i="1" s="1"/>
  <c r="R167" i="1"/>
  <c r="C46" i="1"/>
  <c r="S199" i="1"/>
  <c r="S269" i="1"/>
  <c r="S319" i="1"/>
  <c r="S305" i="1"/>
  <c r="S293" i="1"/>
  <c r="S281" i="1"/>
  <c r="S262" i="1"/>
  <c r="S244" i="1"/>
  <c r="S192" i="1"/>
  <c r="S211" i="1"/>
  <c r="F196" i="1"/>
  <c r="O196" i="1"/>
  <c r="S166" i="1"/>
  <c r="S292" i="1"/>
  <c r="S266" i="1"/>
  <c r="S309" i="1"/>
  <c r="S297" i="1"/>
  <c r="S285" i="1"/>
  <c r="S275" i="1"/>
  <c r="S227" i="1"/>
  <c r="S240" i="1"/>
  <c r="S228" i="1"/>
  <c r="S312" i="1"/>
  <c r="S206" i="1"/>
  <c r="H167" i="1"/>
  <c r="S350" i="1"/>
  <c r="S272" i="1"/>
  <c r="S304" i="1"/>
  <c r="S256" i="1"/>
  <c r="S235" i="1"/>
  <c r="S255" i="1"/>
  <c r="S222" i="1"/>
  <c r="S216" i="1"/>
  <c r="S205" i="1"/>
  <c r="S210" i="1"/>
  <c r="S204" i="1"/>
  <c r="S314" i="1"/>
  <c r="G196" i="1"/>
  <c r="S315" i="1"/>
  <c r="R348" i="1"/>
  <c r="Q196" i="1"/>
  <c r="S270" i="1"/>
  <c r="S310" i="1"/>
  <c r="S286" i="1"/>
  <c r="S316" i="1"/>
  <c r="S263" i="1"/>
  <c r="S243" i="1"/>
  <c r="S225" i="1"/>
  <c r="S186" i="1"/>
  <c r="S36" i="1"/>
  <c r="S107" i="1"/>
  <c r="J196" i="1"/>
  <c r="S260" i="1"/>
  <c r="S264" i="1"/>
  <c r="S218" i="1"/>
  <c r="S317" i="1"/>
  <c r="S236" i="1"/>
  <c r="S318" i="1"/>
  <c r="L196" i="1"/>
  <c r="H197" i="1"/>
  <c r="D196" i="1"/>
  <c r="S349" i="1"/>
  <c r="L10" i="1"/>
  <c r="M156" i="1"/>
  <c r="S156" i="1" s="1"/>
  <c r="O10" i="1"/>
  <c r="I167" i="1"/>
  <c r="M167" i="1" s="1"/>
  <c r="S271" i="1"/>
  <c r="S254" i="1"/>
  <c r="S250" i="1"/>
  <c r="S233" i="1"/>
  <c r="S208" i="1"/>
  <c r="C167" i="1"/>
  <c r="S203" i="1"/>
  <c r="R197" i="1"/>
  <c r="R37" i="1"/>
  <c r="I46" i="1"/>
  <c r="I37" i="1"/>
  <c r="S274" i="1"/>
  <c r="S265" i="1"/>
  <c r="S241" i="1"/>
  <c r="S245" i="1"/>
  <c r="S220" i="1"/>
  <c r="S212" i="1"/>
  <c r="H37" i="1"/>
  <c r="H46" i="1"/>
  <c r="H10" i="1" l="1"/>
  <c r="M37" i="1"/>
  <c r="S37" i="1" s="1"/>
  <c r="M197" i="1"/>
  <c r="S197" i="1" s="1"/>
  <c r="S311" i="1"/>
  <c r="S187" i="1"/>
  <c r="S167" i="1"/>
  <c r="S29" i="1"/>
  <c r="S348" i="1"/>
  <c r="C10" i="1"/>
  <c r="I10" i="1"/>
  <c r="M10" i="1" s="1"/>
  <c r="R196" i="1"/>
  <c r="M196" i="1"/>
  <c r="H196" i="1"/>
  <c r="S46" i="1"/>
  <c r="R10" i="1"/>
  <c r="S10" i="1" l="1"/>
  <c r="S1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Giraitės vandenys</author>
  </authors>
  <commentList>
    <comment ref="B11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Giraitės vandenys:</t>
        </r>
        <r>
          <rPr>
            <sz val="9"/>
            <color indexed="81"/>
            <rFont val="Tahoma"/>
            <family val="2"/>
            <charset val="186"/>
          </rPr>
          <t xml:space="preserve">
Įrašytas naujai, vietoje Žiegždrių NVĮ rekonstrukcijos</t>
        </r>
      </text>
    </comment>
    <comment ref="S18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Giraitės vandenys:</t>
        </r>
        <r>
          <rPr>
            <sz val="9"/>
            <color indexed="81"/>
            <rFont val="Tahoma"/>
            <family val="2"/>
            <charset val="186"/>
          </rPr>
          <t xml:space="preserve">
Rangovas bankrutavo, parinktas kitas rang. AB "Panevėžio statybos trestas" 388,0 tūkst. Eur (bankrutavo UAB "Norus" 394,0 tūkst. Eur). NVĮ rekonstrukcija prasidėjo tik 2021 m. III ketv.</t>
        </r>
      </text>
    </comment>
    <comment ref="B21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Giraitės vandenys:</t>
        </r>
        <r>
          <rPr>
            <sz val="9"/>
            <color indexed="81"/>
            <rFont val="Tahoma"/>
            <family val="2"/>
            <charset val="186"/>
          </rPr>
          <t xml:space="preserve">
Šios sutarties neradau pas Vyr. finansininkę </t>
        </r>
      </text>
    </comment>
    <comment ref="B26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Giraitės vandenys:</t>
        </r>
        <r>
          <rPr>
            <sz val="9"/>
            <color indexed="81"/>
            <rFont val="Tahoma"/>
            <family val="2"/>
            <charset val="186"/>
          </rPr>
          <t xml:space="preserve">
Įrašytas naujai, vietoje Žiegždrių NVĮ rekonstrukcijos</t>
        </r>
      </text>
    </comment>
  </commentList>
</comments>
</file>

<file path=xl/sharedStrings.xml><?xml version="1.0" encoding="utf-8"?>
<sst xmlns="http://schemas.openxmlformats.org/spreadsheetml/2006/main" count="686" uniqueCount="592">
  <si>
    <t>UAB „Giraitės vandenys“ 2019-2021 m. veiklos plano,  patvirtinto</t>
  </si>
  <si>
    <t>priedas</t>
  </si>
  <si>
    <t>UAB „GIRAITĖS VANDENYS“ 2019-2021 M. VEIKLOS PLANO FINANSINĖ DALIS</t>
  </si>
  <si>
    <t>Eil. Nr.</t>
  </si>
  <si>
    <t>Įsigytas (atstatytas) ilgalaikis turtas</t>
  </si>
  <si>
    <t>2018 m.  faktas</t>
  </si>
  <si>
    <t xml:space="preserve">2019 m. </t>
  </si>
  <si>
    <t xml:space="preserve">2020 m. </t>
  </si>
  <si>
    <t xml:space="preserve">2021 m. </t>
  </si>
  <si>
    <t>Iš viso 2019-2021 m.</t>
  </si>
  <si>
    <t>I ketv.</t>
  </si>
  <si>
    <t>II ketv.</t>
  </si>
  <si>
    <t>III ketv.</t>
  </si>
  <si>
    <t>IV ketv.</t>
  </si>
  <si>
    <t>Iš viso</t>
  </si>
  <si>
    <t>1.</t>
  </si>
  <si>
    <t>1.1.</t>
  </si>
  <si>
    <t>Ilgalaikio turto nusidėvėjimo lėšos</t>
  </si>
  <si>
    <t>1.1.1.</t>
  </si>
  <si>
    <t>1.2.</t>
  </si>
  <si>
    <t>Valstybės subsidijų ir dotacijų lėšos</t>
  </si>
  <si>
    <t>Lėšos projektui „Buitinių nuotekų tinklų plėtra Kauno raj. aglomeracijose virš 2000 G.E.“ (Lietuvos aplinkos apsaugos investicijų fondo (toliau - LAAIF) programa)</t>
  </si>
  <si>
    <t>1.2.1</t>
  </si>
  <si>
    <t>1.2.2</t>
  </si>
  <si>
    <t>1.3.</t>
  </si>
  <si>
    <t xml:space="preserve">Savivaldybės subsidijų ir dotacijų lėšos (toliau - KRS lėšos) </t>
  </si>
  <si>
    <t>1.3.1</t>
  </si>
  <si>
    <t xml:space="preserve">Vandens tiekimo ir nuotekų surinkimo tinklų statyba Kulautuvoje </t>
  </si>
  <si>
    <t>1.3.2</t>
  </si>
  <si>
    <t xml:space="preserve">Vandens tiekimo ir nuotekų surinkimo tinklų statyba Ramučiuose  </t>
  </si>
  <si>
    <t>1.3.3</t>
  </si>
  <si>
    <t xml:space="preserve">Nuotekų valymo įrenginių statyba Piliuonoje (I etapas) </t>
  </si>
  <si>
    <t>1.3.4</t>
  </si>
  <si>
    <t xml:space="preserve">Nuotekų tinklų statyba Piliuonoje (I etapas) </t>
  </si>
  <si>
    <t>1.3.5</t>
  </si>
  <si>
    <t xml:space="preserve">Nuotekų tinklų statyba Piliuonoje (II etapas)  </t>
  </si>
  <si>
    <t>1.3.6</t>
  </si>
  <si>
    <t xml:space="preserve">Vandentiekio tinklų plėtra Šlienavoje ir Žiegždriuose  </t>
  </si>
  <si>
    <t>1.3.7</t>
  </si>
  <si>
    <t xml:space="preserve">Vandentiekio tinklų rekonstrukcija Šlienavoje </t>
  </si>
  <si>
    <t>1.3.8</t>
  </si>
  <si>
    <t xml:space="preserve">Artezinio gręžinio įrengimas Zapyškyje </t>
  </si>
  <si>
    <t>1.3.9</t>
  </si>
  <si>
    <t xml:space="preserve">Projekto paslaugos (investicinio projekto parengimas, paraiškos parengimas, projekto administravimo paslaugos)    </t>
  </si>
  <si>
    <t>1.3.10</t>
  </si>
  <si>
    <t xml:space="preserve">Vandens tiekimo ir nuotekų surinkimo tinklų plėtra Kulautuvoje  </t>
  </si>
  <si>
    <t>1.3.11</t>
  </si>
  <si>
    <t>Vandens tiekimo tinklų plėtra Šlienavoje</t>
  </si>
  <si>
    <t>1.3.12</t>
  </si>
  <si>
    <t xml:space="preserve">Nuotekų valymo įrenginių rekonstrukcija Kulautuvoje </t>
  </si>
  <si>
    <t>1.3.13</t>
  </si>
  <si>
    <t>Nuotekų tinklų plėtra Piliuonos k.</t>
  </si>
  <si>
    <t>1.3.14</t>
  </si>
  <si>
    <t>Iš viso KRS lėšų (iš sutaupytų lėšų)</t>
  </si>
  <si>
    <t>Iš viso KRS lėšų projektui, įgyvendinamam ES fondų paramos lėšomis</t>
  </si>
  <si>
    <t>1.3.15</t>
  </si>
  <si>
    <t>1.3.16</t>
  </si>
  <si>
    <t>1.3.17</t>
  </si>
  <si>
    <t>1.3.18</t>
  </si>
  <si>
    <t xml:space="preserve">Iš viso KRS lėšų bendram projektui su UAB „Turto vystymo projektai" </t>
  </si>
  <si>
    <t xml:space="preserve">Iš viso KRS lėšų projektams </t>
  </si>
  <si>
    <t xml:space="preserve">PRIEMONĖS IŠ KRS BIUDŽETO LĖŠŲ </t>
  </si>
  <si>
    <t>VANDENS TIEKIMAS</t>
  </si>
  <si>
    <t>1.3.19</t>
  </si>
  <si>
    <t>1.3.20</t>
  </si>
  <si>
    <t>1.3.21</t>
  </si>
  <si>
    <t>1.3.22</t>
  </si>
  <si>
    <t>Vandentiekio tinklų plėtra Šlienavos k. Miško g. (L-0,583 km)</t>
  </si>
  <si>
    <t>1.3.23</t>
  </si>
  <si>
    <t>1.3.24</t>
  </si>
  <si>
    <t>Vandentiekio tinklų įrengimas Antagynės k. (L-2,649 km)</t>
  </si>
  <si>
    <t>1.3.25</t>
  </si>
  <si>
    <t>1.3.26</t>
  </si>
  <si>
    <t>Vandens gerinimo įrenginių statyba Bernatonių k.</t>
  </si>
  <si>
    <t>1.3.27</t>
  </si>
  <si>
    <t>Vandens gerinimo įrenginių statyba Altoniškių k.</t>
  </si>
  <si>
    <t>1.3.28</t>
  </si>
  <si>
    <t>Vandens gerinimo įrenginių statyba Miškalaukio k.</t>
  </si>
  <si>
    <t>1.3.29</t>
  </si>
  <si>
    <t xml:space="preserve">Vandens gerinimo įrenginių rekonstrukcija Babtų mstl. </t>
  </si>
  <si>
    <t>1.3.30</t>
  </si>
  <si>
    <t>Vandens gerinimo įrenginių statyba Gaižuvėlės k.</t>
  </si>
  <si>
    <t>1.3.31</t>
  </si>
  <si>
    <t>Vandens gerinimo įrenginių statyba Biliūnų k.</t>
  </si>
  <si>
    <t>1.3.32</t>
  </si>
  <si>
    <t>Vandens gerinimo įrenginių statyba Dobilijos k.</t>
  </si>
  <si>
    <t>1.3.33</t>
  </si>
  <si>
    <t>Vandens gerinimo įrenginių statyba Naujatriobių k.</t>
  </si>
  <si>
    <t>1.3.34</t>
  </si>
  <si>
    <t>Vandens gerinimo įrenginių statyba Jurginiškių k.</t>
  </si>
  <si>
    <t>1.3.35</t>
  </si>
  <si>
    <t>Vandens gerinimo įrenginių išplėtimas Užliedžių k.</t>
  </si>
  <si>
    <t>1.3.36</t>
  </si>
  <si>
    <t xml:space="preserve">Artezinių gręžinių įrengimas (pagal poreikį) </t>
  </si>
  <si>
    <t>1.3.37</t>
  </si>
  <si>
    <t>1.3.38</t>
  </si>
  <si>
    <t>Vandentiekio tinklų rekonstrukcija Ežerėlio m. Kauno g. ir Miško g.</t>
  </si>
  <si>
    <t>1.3.39</t>
  </si>
  <si>
    <t>Vandentiekio tinklų įrengimas Zapyškio mstl. Vilemų g.</t>
  </si>
  <si>
    <t>1.3.40</t>
  </si>
  <si>
    <t>Vandentiekio tinklų projektavimas ir įrengimas Girininkų k.</t>
  </si>
  <si>
    <t>1.3.41</t>
  </si>
  <si>
    <t>1.3.42</t>
  </si>
  <si>
    <t>1.3.43</t>
  </si>
  <si>
    <t>Vandentiekio tinklų plėtra Lapių mstl. Barsūniškio ir Upelio g. (vandentiekio sužiedinimas)</t>
  </si>
  <si>
    <t>1.3.44</t>
  </si>
  <si>
    <t xml:space="preserve">Vandentiekio tinklų plėtra Giraitės k. Liepų ir Gluosnių g. (vandentiekio sužiedinimas) </t>
  </si>
  <si>
    <t>1.3.45</t>
  </si>
  <si>
    <t>Vandentiekio tinklų įrengimas Raudondvario k. Instituto g. 3 ir 5</t>
  </si>
  <si>
    <t>1.3.46</t>
  </si>
  <si>
    <t>1.3.47</t>
  </si>
  <si>
    <t>Vandentiekio projektavimas ir įrengimas Valeravos k. (L-0,513 km)</t>
  </si>
  <si>
    <t>1.3.48</t>
  </si>
  <si>
    <t>Vandentiekio tinklų renovacija Viršužiglio k.</t>
  </si>
  <si>
    <t>1.3.49</t>
  </si>
  <si>
    <t>1.3.50</t>
  </si>
  <si>
    <t>1.3.51</t>
  </si>
  <si>
    <t>Vandentiekio įvadų projektavimas ir įrengimas Ramučių k. (gyventojų prašymu, tinklai įrengti ES lėšomis)</t>
  </si>
  <si>
    <t>1.3.52</t>
  </si>
  <si>
    <t>Vandentiekio tinklų nutiesimas nuo gręžinio iki biuvetės Kulautuvos mstl.</t>
  </si>
  <si>
    <t>1.3.53</t>
  </si>
  <si>
    <t xml:space="preserve">Vandentiekio tinklų plėtra Voškonių k. Pirmakurių g. </t>
  </si>
  <si>
    <t>1.3.54</t>
  </si>
  <si>
    <t>1.3.55</t>
  </si>
  <si>
    <t>Vandentiekio tinklų plėtra Neveronių k. Šiltnamių g., L-0,510 km (pagal gyventojų prašymą)</t>
  </si>
  <si>
    <t>1.3.56</t>
  </si>
  <si>
    <t>1.3.57</t>
  </si>
  <si>
    <t xml:space="preserve">Ramučių k. Centrinės g., Parko g., Bielinio g. vandentiekio tinklų plėtros techninio projekto (TP) parengimas </t>
  </si>
  <si>
    <t>1.3.58</t>
  </si>
  <si>
    <t>Vandens išteklių galimybių studijos ir vandens tiekimo sistemos įrengimo projektinių pasiūlymų vandentiekio sistemos išplėtimui užtikrinti Kauno LEZ parengimas</t>
  </si>
  <si>
    <t>1.3.59</t>
  </si>
  <si>
    <t>Projekto (2014-2020 m.) paraiškos parengimas (KRS lėšos)</t>
  </si>
  <si>
    <t>1.3.60</t>
  </si>
  <si>
    <t>Vandentiekio linijos rekonstrukcija Babtų mstl. (vandenvietėje)</t>
  </si>
  <si>
    <t>1.3.61</t>
  </si>
  <si>
    <t>1.3.62</t>
  </si>
  <si>
    <t>1.3.63</t>
  </si>
  <si>
    <t>1.3.64</t>
  </si>
  <si>
    <t>Vandens gerinimo įrenginių išplėtimas Ilgakiemio k.</t>
  </si>
  <si>
    <t>1.3.65</t>
  </si>
  <si>
    <t>1.3.66</t>
  </si>
  <si>
    <t>Vandentiekio tinklų plėtra Dievogalos k. Saulėtekio g., Gamtos g.</t>
  </si>
  <si>
    <t>1.3.67</t>
  </si>
  <si>
    <t>1.3.68</t>
  </si>
  <si>
    <t>Vandentiekio tinklų plėtra Daugėliškių k., nuo Klevų g. iki Jakelio g. 2 ir 4</t>
  </si>
  <si>
    <t>1.3.69</t>
  </si>
  <si>
    <t>Vandentiekio sužiedinimas Ramučių k. Gėlių g., Parko g.</t>
  </si>
  <si>
    <t>1.3.70</t>
  </si>
  <si>
    <t xml:space="preserve">Vandentiekio tinklų rekonstrukcija Piliuonos k. Taikos pr., Ežero g., Kaštonų g., Žalgirio g. </t>
  </si>
  <si>
    <t>1.3.71</t>
  </si>
  <si>
    <t>1.3.72</t>
  </si>
  <si>
    <t>1.3.73</t>
  </si>
  <si>
    <t>Vandens gerinimo įrenginių automatizacija Karmėlavoje</t>
  </si>
  <si>
    <t>1.3.74</t>
  </si>
  <si>
    <t>Vandentiekio tinklų (ir AG) projektavimas Pagirių k. Linų g., Naujakurių g., Plento g.</t>
  </si>
  <si>
    <t>1.3.75</t>
  </si>
  <si>
    <t>Vandentiekio tinklų plėtros projektavimas Bubių k. Klevų g., Tulpių g., Daržų g. ir Beržų g.</t>
  </si>
  <si>
    <t>1.3.76</t>
  </si>
  <si>
    <t xml:space="preserve">Iš viso KRS lėšų vandens tiekimo objektams </t>
  </si>
  <si>
    <t>NUOTEKŲ TVARKYMAS</t>
  </si>
  <si>
    <t>1.3.77</t>
  </si>
  <si>
    <t>Nuotekų tinklų plėtra Babtų mstl. Rasos g. 4 ,6, 8, 9 ir Prieplaukos 16A (L-0,1428 km)</t>
  </si>
  <si>
    <t>1.3.78</t>
  </si>
  <si>
    <t>1.3.79</t>
  </si>
  <si>
    <t>1.3.80</t>
  </si>
  <si>
    <t>1.3.81</t>
  </si>
  <si>
    <t>1.3.82</t>
  </si>
  <si>
    <t>Nuotekų valymo įrenginių statybos projektavimas Daugėliškių k.</t>
  </si>
  <si>
    <t>1.3.83</t>
  </si>
  <si>
    <t>Nuotekų valymo įrenginių statyba Valeravos k.</t>
  </si>
  <si>
    <t>1.3.84</t>
  </si>
  <si>
    <t>Nuotekų valymo įrenginių rekonstrukcijos Šlienavos k. projektas</t>
  </si>
  <si>
    <t>1.3.85</t>
  </si>
  <si>
    <t>Nuotekų valymo įrenginių remontas Ilgakiemio k.</t>
  </si>
  <si>
    <t>1.3.86</t>
  </si>
  <si>
    <t>Nuotekų valymo įrenginių remontas Pagynės k.</t>
  </si>
  <si>
    <t>1.3.87</t>
  </si>
  <si>
    <t>Nuotekų valymo įrenginių remontas Giraitės k.</t>
  </si>
  <si>
    <t>1.3.88</t>
  </si>
  <si>
    <t>Nuotekų valymo įrenginių aeracinės sistemos išplėtimas Užliedžių k.</t>
  </si>
  <si>
    <t>1.3.89</t>
  </si>
  <si>
    <t>1.3.90</t>
  </si>
  <si>
    <t>Nuotekų siurblinės įrengimas Ginėnų k.</t>
  </si>
  <si>
    <t>1.3.91</t>
  </si>
  <si>
    <t>1.3.92</t>
  </si>
  <si>
    <t>Nuotekų tinklų plėtra Šlienavos k. Šilėnų g. (L-0,406 km)</t>
  </si>
  <si>
    <t>1.3.93</t>
  </si>
  <si>
    <t>Nuotekų tinklų plėtra Karmėlavos mstl. Sodų g. (L-0,246 km) ir Vilniaus g. 3 (L-0,030 km)</t>
  </si>
  <si>
    <t>1.3.94</t>
  </si>
  <si>
    <t>Nuotekų tinklų plėtra Karmėlavos mstl. Vilniaus g. 3 (L-0,030 km)</t>
  </si>
  <si>
    <t>1.3.95</t>
  </si>
  <si>
    <t>1.3.96</t>
  </si>
  <si>
    <t>1.3.97</t>
  </si>
  <si>
    <t>1.3.98</t>
  </si>
  <si>
    <t>1.3.99</t>
  </si>
  <si>
    <t>Nuotekų tinklų plėtros Zapyškio mstl. Vilemų g. projektavimas</t>
  </si>
  <si>
    <t>1.3.100</t>
  </si>
  <si>
    <t>Nuotekų tinklų plėtros Girininkų k. projektavimas ir darbai</t>
  </si>
  <si>
    <t>1.3.101</t>
  </si>
  <si>
    <t>Nuotekų tinklų plėtra Voškonių k. Taikos g., L-1,342 km</t>
  </si>
  <si>
    <t>1.3.102</t>
  </si>
  <si>
    <t>1.3.103</t>
  </si>
  <si>
    <t>1.3.104</t>
  </si>
  <si>
    <t>Nuotekų išvadų projektavimas ir įrengimas Ramučių k. (NT įrengti ES ir KRS lėšomis)</t>
  </si>
  <si>
    <t>1.3.105</t>
  </si>
  <si>
    <t>1.3.106</t>
  </si>
  <si>
    <t>1.3.107</t>
  </si>
  <si>
    <t xml:space="preserve">Nuotekų tinklų ir NVĮ techninio projekto parengimas Boniškių k. (Vandžiogalos sen.) </t>
  </si>
  <si>
    <t>1.3.108</t>
  </si>
  <si>
    <t>Projekto (2014-2020 m.) paraiškos parengimas</t>
  </si>
  <si>
    <t>1.3.109</t>
  </si>
  <si>
    <t>Nuotekų valymo įrenginių remontas Babtų mstl.</t>
  </si>
  <si>
    <t>1.3.110</t>
  </si>
  <si>
    <t>Turto (vandentvarkos objektų) išpirkimas</t>
  </si>
  <si>
    <t>1.3.111</t>
  </si>
  <si>
    <t>Nuotekų tinklų plėtra Kulautuvos mstl. Gluosnių-Pušyno g. (L-78,38 m)</t>
  </si>
  <si>
    <t>1.3.112</t>
  </si>
  <si>
    <t>Nuotekų tinklų plėtra Karmėlavos aglomeracijoje</t>
  </si>
  <si>
    <t>1.3.113</t>
  </si>
  <si>
    <t>Nuotekų tinklų plėtra Raudondvario aglomeracijoje</t>
  </si>
  <si>
    <t>1.3.114</t>
  </si>
  <si>
    <t>1.3.115</t>
  </si>
  <si>
    <t>1.3.116</t>
  </si>
  <si>
    <t>1.3.117</t>
  </si>
  <si>
    <t>Nuotekų tinklų rekonstrukcija Daugėliškių k.</t>
  </si>
  <si>
    <t>1.3.118</t>
  </si>
  <si>
    <t>1.3.119</t>
  </si>
  <si>
    <t>1.3.120</t>
  </si>
  <si>
    <t>Nuotekų tinklų plėtros projektavimas Bubių k. Klevų g., Tulpių g., Daržų g. ir Beržų g.</t>
  </si>
  <si>
    <t>1.3.121</t>
  </si>
  <si>
    <t>Nuotekų siurblinės remontas Ilgakiemio k.</t>
  </si>
  <si>
    <t>1.3.122</t>
  </si>
  <si>
    <t>1.3.123</t>
  </si>
  <si>
    <t xml:space="preserve">Iš viso KRS lėšų nuotekų tvarkymo objektams (be paviršinių nuotekų)  </t>
  </si>
  <si>
    <t>PAVIRŠINIŲ (LIETAUS) NUOTEKŲ TVARKYMAS</t>
  </si>
  <si>
    <t>1.3.124</t>
  </si>
  <si>
    <t>Paviršinių (lietaus) nuotekų tinklų įrengimas Ramučių k. Biruliškių g. (L-0,500 km)</t>
  </si>
  <si>
    <t>1.3.125</t>
  </si>
  <si>
    <t>1.3.126</t>
  </si>
  <si>
    <t>1.3.127</t>
  </si>
  <si>
    <t>Paviršinių nuotekų tinklų rekonstrukcija Neveronių k. Šiltnamių, Bijūnų, Karmėlavos g.</t>
  </si>
  <si>
    <t>1.3.128</t>
  </si>
  <si>
    <t>1.3.129</t>
  </si>
  <si>
    <t>1.3.130</t>
  </si>
  <si>
    <r>
      <t xml:space="preserve">Paviršinių (lietaus) nuotekų tinklų įrengimo Kamšos botaniniame-zoologiniame draustinyje (Kamšos kvartale) TP, </t>
    </r>
    <r>
      <rPr>
        <sz val="8"/>
        <color theme="1"/>
        <rFont val="Times New Roman"/>
        <family val="1"/>
        <charset val="186"/>
      </rPr>
      <t>bendras ilgis apie 4,0 km</t>
    </r>
  </si>
  <si>
    <t>1.3.131</t>
  </si>
  <si>
    <t>Pagal laikinų priemonių planą paviršinių nuotekų tinklų įrengimas Kamšos botaniniame-zoologiniame draustinyje (Kamšos kvartale), L- 0,402 km</t>
  </si>
  <si>
    <t>Iš viso KRS lėšų paviršinių (lietaus) nuotekų tvarkymo objektams</t>
  </si>
  <si>
    <t>Iš viso KRS biudžeto lėšų vandens tiekimo, nuotekų tvarkymo ir paviršinių nuotekų tvarkymo objektams</t>
  </si>
  <si>
    <t>1.4.</t>
  </si>
  <si>
    <t>Europos Sąjungos fondų lėšos</t>
  </si>
  <si>
    <t>1.4.1</t>
  </si>
  <si>
    <t>1.4.2</t>
  </si>
  <si>
    <t xml:space="preserve">Vandens tiekimo ir nuotekų surinkimo tinklų statyba Ramučiuose </t>
  </si>
  <si>
    <t>1.4.3</t>
  </si>
  <si>
    <t>1.4.4</t>
  </si>
  <si>
    <t xml:space="preserve">Nuotekų tinklų statyba Piliuonoje (I etapas)  </t>
  </si>
  <si>
    <t>1.4.5</t>
  </si>
  <si>
    <t>1.4.6</t>
  </si>
  <si>
    <t>1.4.7</t>
  </si>
  <si>
    <t>Vandentiekio tinklų rekonstrukcija Šlienavoje</t>
  </si>
  <si>
    <t>1.4.8</t>
  </si>
  <si>
    <t>1.4.9</t>
  </si>
  <si>
    <t xml:space="preserve">Projekto paslaugos (investicinio projekto parengimas, paraiškos parengimas, projekto administravimo paslaugos) </t>
  </si>
  <si>
    <t>Iš viso ES lėšų projektui „Vandens tiekimo ir nuotekų tvarkymo infrastruktūros atnaujinimas ir plėtra Kauno rajone (2014-2020 m. I etapas)" (be sutaupytų lėšų)</t>
  </si>
  <si>
    <t>ES lėšos 2014-2020 m. I etapo projektui iš sutaupytų lėšų</t>
  </si>
  <si>
    <t>1.4.10</t>
  </si>
  <si>
    <t>1.4.11</t>
  </si>
  <si>
    <t>1.4.12</t>
  </si>
  <si>
    <t>1.4.13</t>
  </si>
  <si>
    <t>1.4.14</t>
  </si>
  <si>
    <t>Iš viso ES lėšų 2014-2020 m. I etapo projektui iš sutaupytų lėšų</t>
  </si>
  <si>
    <t xml:space="preserve"> Iš viso ES lėšų </t>
  </si>
  <si>
    <t>1.5.</t>
  </si>
  <si>
    <t>Kitos - UAB „Turto vystymo projektai" lėšos (bendras projektas su Savivaldybe)</t>
  </si>
  <si>
    <t>1.5.1</t>
  </si>
  <si>
    <t>1.5.2</t>
  </si>
  <si>
    <t>Iš viso kitų lėšų projektui su Savivaldybe</t>
  </si>
  <si>
    <t>1.6.</t>
  </si>
  <si>
    <t>1.6.1</t>
  </si>
  <si>
    <t>Paviršinių (lietaus) nuotekų tvarkymo tinklai (padidintas ĮK)</t>
  </si>
  <si>
    <t>1.6.2</t>
  </si>
  <si>
    <t>Buitinių nuotekų šalinimo tinklai (padidintas ĮK)</t>
  </si>
  <si>
    <t>1.7.</t>
  </si>
  <si>
    <t>Patikėjimo teise naudojamas vandens tiekimo, buitinių nuotekų ir paviršinių nuotekų tvarkymo veiklai turtas (nuosavybės teise priklausantis Kauno rajono savivaldybei)</t>
  </si>
  <si>
    <t>2.</t>
  </si>
  <si>
    <t>Lėšų panaudojimas</t>
  </si>
  <si>
    <t>2.1.</t>
  </si>
  <si>
    <t xml:space="preserve">Investicijų ir plėtros projektams įgyvendinti                               </t>
  </si>
  <si>
    <t>2.1.1</t>
  </si>
  <si>
    <t>Vandens tiekimo ir nuotekų surinkimo tinklų statyba Kulautuvoje (ES 2014-2020 m. I etapas)</t>
  </si>
  <si>
    <t>2.1.2</t>
  </si>
  <si>
    <t>Vandens tiekimo ir nuotekų surinkimo tinklų statyba Ramučiuose (ES 2014-2020 m. I etapas)</t>
  </si>
  <si>
    <t>2.1.3</t>
  </si>
  <si>
    <t>Nuotekų valymo įrenginių statyba Piliuonoje (I etapas)  (ES 2014-2020 m. I etapas)</t>
  </si>
  <si>
    <t>2.1.4</t>
  </si>
  <si>
    <t>Nuotekų tinklų statyba Piliuonoje (I etapas)   (ES 2014-2020 m. I etapas)</t>
  </si>
  <si>
    <t>2.1.5</t>
  </si>
  <si>
    <t>Nuotekų tinklų statyba Piliuonoje (II etapas)  (ES 2014-2020 m. I etapas)</t>
  </si>
  <si>
    <t>2.1.6</t>
  </si>
  <si>
    <t>Vandentiekio tinklų plėtra Šlienavoje ir Žiegždriuose (ES 2014-2020 m. I etapas)</t>
  </si>
  <si>
    <t>2.1.7</t>
  </si>
  <si>
    <t>Vandentiekio tinklų rekonstrukcija Šlienavoje  (ES 2014-2020 m. I etapas)</t>
  </si>
  <si>
    <t>2.1.8</t>
  </si>
  <si>
    <t>Artezinio gręžinio įrengimas Zapyškyje (ES 2014-2020 m. I etapas)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</si>
  <si>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</si>
  <si>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</si>
  <si>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</si>
  <si>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</si>
  <si>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</si>
  <si>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</si>
  <si>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</si>
  <si>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</si>
  <si>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</si>
  <si>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</si>
  <si>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</si>
  <si>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</si>
  <si>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</si>
  <si>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</si>
  <si>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</si>
  <si>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</si>
  <si>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</si>
  <si>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</si>
  <si>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</si>
  <si>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</si>
  <si>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</si>
  <si>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</si>
  <si>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</si>
  <si>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</si>
  <si>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</si>
  <si>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</si>
  <si>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</si>
  <si>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</si>
  <si>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Artezinių gręžinių įrengimas (pagal poreikį)</t>
  </si>
  <si>
    <t>2.1.37</t>
  </si>
  <si>
    <t>2.1.38</t>
  </si>
  <si>
    <t>Vandentiekio tinklų rekonstrukcija Ežerėlio m. Kauno g. (L-0,92 km) ir Miško g. (L-0,94 km)</t>
  </si>
  <si>
    <t>2.1.39</t>
  </si>
  <si>
    <t>Vandentiekio ir nuotekų tinklų projektavimas ir įrengimas Zapyškio mstl. Vilemų g.</t>
  </si>
  <si>
    <t>2.1.40</t>
  </si>
  <si>
    <t>Vandentiekio ir nuotekų tinklų projektavimas ir įrengimas Girininkų k.</t>
  </si>
  <si>
    <t>2.1.41</t>
  </si>
  <si>
    <t>2.1.42</t>
  </si>
  <si>
    <t>Vandentiekio tinklų plėtra Patamulšėlio k. (naujų abonentų prijungimas)</t>
  </si>
  <si>
    <t>2.1.43</t>
  </si>
  <si>
    <t>2.1.44</t>
  </si>
  <si>
    <t>Vandentiekio tinklų plėtra Giraitės k. Liepų ir Gluosnių g. (vandentiekio sužiedinimas)</t>
  </si>
  <si>
    <t>2.1.45</t>
  </si>
  <si>
    <t>2.1.46</t>
  </si>
  <si>
    <t>2.1.47</t>
  </si>
  <si>
    <t>2.1.48</t>
  </si>
  <si>
    <t>2.1.49</t>
  </si>
  <si>
    <t>2.1.50</t>
  </si>
  <si>
    <t>2.1.51</t>
  </si>
  <si>
    <t>Nuotekų tinklų rekonstrukcija Voškonių k. (nuo Jovarų g. iki NS, su NS remontu)</t>
  </si>
  <si>
    <t>2.1.52</t>
  </si>
  <si>
    <t>Vandentiekio ir nuotekų tinklų projektavimas ir įrengimas Valeravos k. (Vandžiogalos sen.)</t>
  </si>
  <si>
    <t>2.1.53</t>
  </si>
  <si>
    <t>2.1.54</t>
  </si>
  <si>
    <t>Vandenvietės atnaujinimas Šlienavos k. (įrengta 315 m tvora, atnaujinti privažiavimo keliai)</t>
  </si>
  <si>
    <t>2.1.55</t>
  </si>
  <si>
    <t>2.1.56</t>
  </si>
  <si>
    <t>Vandentiekio įvadų ir nuotekų išvadų projektavimas ir įrengimas Ramučių k. (gyventojų prašymu; VT įrengti ES lėšomis)</t>
  </si>
  <si>
    <t>2.1.57</t>
  </si>
  <si>
    <t>2.1.58</t>
  </si>
  <si>
    <t>2.1.59</t>
  </si>
  <si>
    <t>2.1.60</t>
  </si>
  <si>
    <t>2.1.61</t>
  </si>
  <si>
    <t>2.1.62</t>
  </si>
  <si>
    <t>2.1.63</t>
  </si>
  <si>
    <t>Nuotekų tinklų plėtra Raudondvario k. Lazdynėlių g. (L-0,132 km) ir Lazdyno g. (L-0,208 km)</t>
  </si>
  <si>
    <t>2.1.64</t>
  </si>
  <si>
    <t>2.1.65</t>
  </si>
  <si>
    <t>2.1.66</t>
  </si>
  <si>
    <t>2.1.67</t>
  </si>
  <si>
    <t>Nuotekų tinklų ir NVĮ techninio projekto parengimas Boniškių k. (Vandžiogalos sen.)</t>
  </si>
  <si>
    <t>2.1.68</t>
  </si>
  <si>
    <t>2.1.69</t>
  </si>
  <si>
    <t>2.1.70</t>
  </si>
  <si>
    <t>2.1.71</t>
  </si>
  <si>
    <t>2.1.72</t>
  </si>
  <si>
    <t>2.1.73</t>
  </si>
  <si>
    <t>2.1.74</t>
  </si>
  <si>
    <t>2.1.75</t>
  </si>
  <si>
    <t>2.1.76</t>
  </si>
  <si>
    <t>2.1.77</t>
  </si>
  <si>
    <t>2.1.78</t>
  </si>
  <si>
    <t>Vandens išteklių galimybių studijos ir VT sistemos įrengimo projektinių pasiūlymų užtikrinti VT Kauno LEZ parengimas</t>
  </si>
  <si>
    <t>2.1.79</t>
  </si>
  <si>
    <t>2.1.80</t>
  </si>
  <si>
    <t xml:space="preserve">Nuotekų tinklų plėtros techninio projekto parengimas Voškonių k. </t>
  </si>
  <si>
    <t>2.1.81</t>
  </si>
  <si>
    <t>2.1.82</t>
  </si>
  <si>
    <t xml:space="preserve">Vandentiekio ir nuotekų tinklų plėtros TP parengimas Ramučių k. Centrinės g., Parko g., Bielinio g. </t>
  </si>
  <si>
    <t>2.1.83</t>
  </si>
  <si>
    <t>2.1.84</t>
  </si>
  <si>
    <t>2.1.85</t>
  </si>
  <si>
    <t>2.1.86</t>
  </si>
  <si>
    <t>2.1.87</t>
  </si>
  <si>
    <t>2.1.88</t>
  </si>
  <si>
    <t>2.1.89</t>
  </si>
  <si>
    <t>2.1.90</t>
  </si>
  <si>
    <t>2.1.91</t>
  </si>
  <si>
    <t>2.1.92</t>
  </si>
  <si>
    <t>2.1.93</t>
  </si>
  <si>
    <t>2.1.94</t>
  </si>
  <si>
    <t>2.1.95</t>
  </si>
  <si>
    <t>2.1.96</t>
  </si>
  <si>
    <t>2.1.97</t>
  </si>
  <si>
    <t>2.1.98</t>
  </si>
  <si>
    <t>2.1.99</t>
  </si>
  <si>
    <t>2.1.100</t>
  </si>
  <si>
    <t>2.1.101</t>
  </si>
  <si>
    <t>2.1.102</t>
  </si>
  <si>
    <t>2.1.103</t>
  </si>
  <si>
    <t>2.1.104</t>
  </si>
  <si>
    <t>2.1.105</t>
  </si>
  <si>
    <t>2.1.106</t>
  </si>
  <si>
    <t>2.1.107</t>
  </si>
  <si>
    <t>2.1.108</t>
  </si>
  <si>
    <t>2.1.109</t>
  </si>
  <si>
    <t>2.1.110</t>
  </si>
  <si>
    <t>2.1.111</t>
  </si>
  <si>
    <t>2.1.112</t>
  </si>
  <si>
    <t>2.1.113</t>
  </si>
  <si>
    <t>PAVIRŠINIŲ (LIETAUS) NUOTEKŲ TVARKYMAS IŠ VISO</t>
  </si>
  <si>
    <t>2.1.114</t>
  </si>
  <si>
    <t>2.1.115</t>
  </si>
  <si>
    <t>Paviršinių (lietaus) nuotekų tinklų remontas  Biruliškių k. Veterinarų g.  (L-0,050 km)</t>
  </si>
  <si>
    <t>2.1.116</t>
  </si>
  <si>
    <t>Paviršinių nuotekų tinklų renovacija Karmėlavos mstl.Vilniaus g. (prie Nr. 1, 2, 3, 5)(L-1,020 km)</t>
  </si>
  <si>
    <t>2.1.117</t>
  </si>
  <si>
    <t>2.1.118</t>
  </si>
  <si>
    <t>2.1.119</t>
  </si>
  <si>
    <t>2.1.120</t>
  </si>
  <si>
    <t>Paviršinių (lietaus) nuotekų tinklų įrengimo Kamšos botaniniame-zoologiniame draustinyje (Kamšos kvartale) TP, bendras ilgis - apie 4,0 km</t>
  </si>
  <si>
    <t>2.1.121</t>
  </si>
  <si>
    <t>Pagal laikinų priemonių planą paviršinių (lietaus) nuotekų tinklų įrengimas Kamšos botaniniame-zoologiniame draustinyje (Kamšos kvartale), L-0,402 km</t>
  </si>
  <si>
    <t>2.2.</t>
  </si>
  <si>
    <t>Ilgalaikiam turtui įsigyti ir atnaujinti (renovuoti) (bendrovės lėšos)</t>
  </si>
  <si>
    <t>2.2.1</t>
  </si>
  <si>
    <t xml:space="preserve">Artezinių gręžinių remontas </t>
  </si>
  <si>
    <t>2.2.2</t>
  </si>
  <si>
    <t xml:space="preserve">Vandens gerinimo įrenginių remontas  (Karmėlavos VGĮ ir kt.) </t>
  </si>
  <si>
    <t>2.2.3</t>
  </si>
  <si>
    <t xml:space="preserve">Nuotekų siurblinės remontas Voškonių k. </t>
  </si>
  <si>
    <t>2.2.4</t>
  </si>
  <si>
    <t>2.2.5</t>
  </si>
  <si>
    <t>2.2.6</t>
  </si>
  <si>
    <t>2.2.7</t>
  </si>
  <si>
    <t xml:space="preserve">Giraitės NVĮ išleidžiamų nuotekų apskaitos mazgo rekonstrukcija  </t>
  </si>
  <si>
    <t>2.2.8</t>
  </si>
  <si>
    <t xml:space="preserve">Gamybinių pastatų remontas </t>
  </si>
  <si>
    <t>2.2.9</t>
  </si>
  <si>
    <t xml:space="preserve">Tarnybinių automobilių įsigijimas, technikos įsigijimas  </t>
  </si>
  <si>
    <t>2.2.10</t>
  </si>
  <si>
    <t xml:space="preserve">Vandens skaitiklių įsigijimas  </t>
  </si>
  <si>
    <t>2.2.11</t>
  </si>
  <si>
    <t xml:space="preserve">Turimos technikos remontas </t>
  </si>
  <si>
    <t>2.2.12</t>
  </si>
  <si>
    <t xml:space="preserve">Vandentiekio tinklų renovacija (remontas) Viršužiglio k.  </t>
  </si>
  <si>
    <t>2.2.13</t>
  </si>
  <si>
    <t xml:space="preserve">Vandentiekio tinklų renovacija (remontas) </t>
  </si>
  <si>
    <t>2.2.14</t>
  </si>
  <si>
    <t xml:space="preserve">Vandenviečių aptvėrimas ir teritorijos sutvarkymas  </t>
  </si>
  <si>
    <t>2.2.15</t>
  </si>
  <si>
    <t xml:space="preserve">Nuotekų valymo įrenginių aptvėrimas ir teritorijos sutvarkymas  </t>
  </si>
  <si>
    <t>2.2.16</t>
  </si>
  <si>
    <t xml:space="preserve">Vandentiekio tinklų inventorizacija ir teisinė registracija  </t>
  </si>
  <si>
    <t>2.2.17</t>
  </si>
  <si>
    <t xml:space="preserve">Nuotekų tinklų inventorizacija ir teisinė registracija  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</si>
  <si>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</si>
  <si>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</si>
  <si>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</si>
  <si>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</si>
  <si>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</si>
  <si>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</si>
  <si>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</si>
  <si>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</si>
  <si>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</si>
  <si>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</si>
  <si>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Tarnybinių automobilių, technikos įsigijimas</t>
  </si>
  <si>
    <t>Programinės įrangos įsigijimas, atnaujinimas</t>
  </si>
  <si>
    <t>2.3</t>
  </si>
  <si>
    <t>2.3.1</t>
  </si>
  <si>
    <t>2.3.2</t>
  </si>
  <si>
    <t>2.4</t>
  </si>
  <si>
    <t>Kauno rajono savivaldybės tarybos 2018 m. spalio 25 d. sprendimu Nr. TS-286</t>
  </si>
  <si>
    <t>Iš viso KRS lėšų projektui „Vandens tiekimo ir nuotekų tvarkymo infrastruktūros atnaujinimas ir plėtra Kauno rajone (2014-2020 m. I etapas)"</t>
  </si>
  <si>
    <t xml:space="preserve">  </t>
  </si>
  <si>
    <t>Lėšos projektui „Vandens tiekimo ir nuotekų tvarkymo infrastruktūros atnaujinimas ir plėtra Kauno rajone (2014-2020 m. I etapas)"</t>
  </si>
  <si>
    <t>Ramučių k. vandens ir nuotekų tinklų infrastruktūros plėtra Arimų, K. Bielinio, Beržų, Vijoklių, Zversos, Vyšnių, Ąžuolų, Gėlių, Gėlių 1-asis, Ąžuolų 1-asis takas, Ąžuolų 2-asis takas g. (iš sutaupytų lėšų)</t>
  </si>
  <si>
    <t xml:space="preserve">Vandentiekio tinklų plėtra Karmėlavos Piliakalnio ir Sodų g. </t>
  </si>
  <si>
    <t xml:space="preserve">Vandentiekio tinklų rekonstrukcija Piliuonos k. Rožių g. </t>
  </si>
  <si>
    <t xml:space="preserve">Vandentiekio tinklų plėtra Kulautuvos mstl. Nemuno g. </t>
  </si>
  <si>
    <t>Vandentiekio tinklų plėtra Raudondvario k. Žalgirio g.</t>
  </si>
  <si>
    <t>Vandentiekio tinklų plėtra Ramučių k. Dainavos g. 40, 40a, 40b-1, 40b-2 ir 40C</t>
  </si>
  <si>
    <t>Vandentiekio tinklų plėtra Daugėliškių k. Mokyklos g. 2</t>
  </si>
  <si>
    <t xml:space="preserve">Vandentiekio linijos rekonstrukcija Babtų mstl. Rasos g. </t>
  </si>
  <si>
    <t>Vandentiekio tinklų remontas Užliedžių k. Ledos g. 2</t>
  </si>
  <si>
    <t>Nuotekų tinklų rekonstrukcija Voškonių k. (nuo Jovarų g. iki nuotekų siurblinės su NS remontu)</t>
  </si>
  <si>
    <t>Nuotekų tinklų plėtros techninio projekto parengimas Ramučių k. Centrinės g., Parko g., Bielinio g.</t>
  </si>
  <si>
    <t>Nuotekų tinklų plėtros techninio projekto parengimas Voškonių k.</t>
  </si>
  <si>
    <t>Nuotekų tinklų plėtra Ramučių k. Dainavos g. 40, 40a, 40b-1, 40b-2 ir 40C</t>
  </si>
  <si>
    <t>Nuotekų tinklų įrengimas Raudondvario k. Vejuonos g.</t>
  </si>
  <si>
    <t>Nuotekų tinklų rekonstrukcija Užliedžių k. Ledos g. 2A</t>
  </si>
  <si>
    <t>Nuotekų tinklų rekonstrukcija Neveronių k. Karmėlavos g. 32</t>
  </si>
  <si>
    <t>Nuotekų tinklų remontas Užliedžių k. Ledos g. 2</t>
  </si>
  <si>
    <t xml:space="preserve">Nuotekų siurblinės remontas Vaišvydavos k. Miškininkų g., Piliuonos g. </t>
  </si>
  <si>
    <t>Paviršinių (lietaus) nuotekų tinklų renovacija Karmėlavos mstl. Vilniaus g. (prie Nr.1, 2, 3, 5)</t>
  </si>
  <si>
    <t>Paviršinių nuotekų tinklų projektavimas Garliavos m. Darbininkų g.</t>
  </si>
  <si>
    <t>Paviršinių (lietaus) nuotekų nuvedimo nuo daugiabučių gyvenamųjų namų ir gyvenamųjų namų kvartalų tinklų renovacija ir statyba</t>
  </si>
  <si>
    <t xml:space="preserve">Lėšos projektui „Vandens tiekimo ir nuotekų tvarkymo infrastruktūros atnaujinimas ir plėtra Kauno rajone (2014-2020 m. I etapas)" </t>
  </si>
  <si>
    <t>Artezinio gręžinio įrengimas Zapyškyje</t>
  </si>
  <si>
    <t xml:space="preserve">Vandens tiekimo ir nuotekų surinkimo tinklų plėtra Kulautuvoje </t>
  </si>
  <si>
    <t>Nuotekų valymo įrenginių rekonstrukcija Kulautuvoje (ES lėšų dalis 50 proc.)</t>
  </si>
  <si>
    <t xml:space="preserve">Vandens tiekimo tinklų plėtra Šlienavoje (ES lėšų dalis 80 proc.) </t>
  </si>
  <si>
    <t>Nuotekų tinklų plėtra Piliuonos k. (iš sutaupytų lėšų)</t>
  </si>
  <si>
    <r>
      <t xml:space="preserve">Projekto paslaugos </t>
    </r>
    <r>
      <rPr>
        <sz val="9"/>
        <rFont val="Times New Roman"/>
        <family val="1"/>
        <charset val="186"/>
      </rPr>
      <t>(investicinio projekto parengimas, paraiškos parengimas, projekto administravimo paslaugos, ES 2014-2020 m. I etapas)</t>
    </r>
  </si>
  <si>
    <t xml:space="preserve">Vandens tiekimo ir nuotekų surinkimo tinklų plėtra Kulautuvoje (iš sutaupytų lėšų) </t>
  </si>
  <si>
    <t xml:space="preserve">Vandens tiekimo tinklų plėtra Šlienavoje (iš sutaupytų lėšų)  </t>
  </si>
  <si>
    <t>Ramučių k. vandens ir nuotekų tinklų infrastruktūros plėtra  (iš sutaupytų lėšų) Arimų, K. Bielinio, Beržų, Vijoklių, Zversos, Vyšnių, Ąžuolų, Gėlių, Gėlių 1-asis, Ąžuolų 1-asis takas, Ąžuolų 2-asis takas g. (iš sutaupytų lėšų)</t>
  </si>
  <si>
    <t>Vandentiekio ir nuotekų tinklų plėtra Karmėlavos Sodų g., Piliakalnio g., Vilniaus g. 3</t>
  </si>
  <si>
    <t>Vandentiekio tinkl. įrengimas (įvado įrengimas ir perjungimas) Raudondvario k. Instituto g. Nr. 3, 5</t>
  </si>
  <si>
    <t xml:space="preserve">Vandens filtro įrengimas Giraitės k. vandenvietėje </t>
  </si>
  <si>
    <t xml:space="preserve">Vandentiekio tinklų rekonstrukcija Piliuonos k. Taikos pr. </t>
  </si>
  <si>
    <t>Vandentiekio tinklų rekonstrukcijos techninis projektas ir rekonstrukcija Bubių k.</t>
  </si>
  <si>
    <t xml:space="preserve">Nuotekų siurblinės remontas Užliedžių k. Griežlės g. </t>
  </si>
  <si>
    <t>Paviršinių nuotekų tinklų rekonstrukcija Neveronių k. Šiltnamių, Bijūnų, Karmėlavos g. (L-1,272 km)</t>
  </si>
  <si>
    <t xml:space="preserve">Nuotekų siurblinės remontas Giraitės k. Radastų g. </t>
  </si>
  <si>
    <t xml:space="preserve">Nuotekų siurblinės remontas Žiegždrių k. A. Kriščiūno g. </t>
  </si>
  <si>
    <t>Vandenvietės atnaujinimas Šlienavos k. (užtverta 315 m. tvoros, atnaujinti privažiavimo keliai)</t>
  </si>
  <si>
    <t>Nuotekų siurblinės remontas Užliedžių k. Griežlės g.</t>
  </si>
  <si>
    <t>Kitos - Kauno r. sav. administracijos direktoriaus 2019-12-05 įsakymu Nr. ĮS-2269 perduotas turtas (padidinant įstatinį kapitalą)</t>
  </si>
  <si>
    <t>Nuotekų siurblinės remontas Bubių k. (ties Palaidžupio g.)</t>
  </si>
  <si>
    <t>Vandentiekio tinklų įrengimas Antagynės k. (L-2,640 km)</t>
  </si>
  <si>
    <t>Vandentiekio tinklų įrengimas Jurginiškių k. (L-1,139 km)</t>
  </si>
  <si>
    <t>Vandentiekio tinklų plėtra Neveronių k. Šiltnamių g., L-0,590 km (pagal gyventojų prašymą)</t>
  </si>
  <si>
    <t xml:space="preserve">Vandentiekio įrengimas Zapyškio mstl. Muziejaus g., L-0,501 km </t>
  </si>
  <si>
    <t>Nuotekų tinklų plėtra Babtų mstl. Rasos g. 4 ,6, 8, 9 ir Prieplaukos 16A, L-0,143 km</t>
  </si>
  <si>
    <t>Nuotekų tinklų plėtra Šlienavos k. Miško g., L-0,829 km</t>
  </si>
  <si>
    <t xml:space="preserve">Nuotekų tinklų įrengimas Zapyškio mstl. Muziejaus g., L-0,235 km </t>
  </si>
  <si>
    <t xml:space="preserve">Nuotekų tinklų rekonstrukcija Raudondvario k. Dainavos g., L-0,018 km </t>
  </si>
  <si>
    <t>Nuotekų tinklų plėtra Šlienavos k. Šilėnų g., L-0,406 km</t>
  </si>
  <si>
    <t>Nuotekų tinklų plėtra Karmėlavoje, B. Buračo g., L-0,037 km</t>
  </si>
  <si>
    <t>Nuotekų tinklų plėtra Raudondvario k. Dobilų g. (L-0,806 km ir išvadai L-0,100 km)</t>
  </si>
  <si>
    <t xml:space="preserve">Nuotekų tinklų įrengimas Valeravos k., L-0,917 km </t>
  </si>
  <si>
    <t>Nuotekų tinklų plėtra Kulautuvos mstl. Gluosnių-Pušyno g., L-0,784 km</t>
  </si>
  <si>
    <t>Paviršinių (lietaus) nuotekų tinklų įrengimas Ramučių k. Biruliškių g., L-0,50 km</t>
  </si>
  <si>
    <t>Paviršinių (lietaus) nuotekų tinklų remontas  Biruliškių k. Veterinarų g., L-0,05 km</t>
  </si>
  <si>
    <t xml:space="preserve">Nuotekų tinklų plėtra Voškonių k. Jovarų g., L-1,358 km      </t>
  </si>
  <si>
    <t>Vandentiekio tinklų plėtra Raudondvario k. (Taikos g. L-0,193 km, Ievų g. L-0,264 km)</t>
  </si>
  <si>
    <t>Nuotekų tinklų statyba Vilkijos m. L-1,478 km (Degalinės g. L-0,100 km, Čekiškės g. L-0,472 km, Kauno g. L-0,906 km)</t>
  </si>
  <si>
    <t>Vandentiekio tinklų įrengimas Miškalaukio k., L-1,393 km</t>
  </si>
  <si>
    <t>Vandentiekio tinklų plėtra Voškonių k. Jovarų g., L-1,046 km</t>
  </si>
  <si>
    <t xml:space="preserve">Nuotekų tinklų plėtra Voškonių k. Jovarų g., L-1,358 km </t>
  </si>
  <si>
    <t>Vandentiekio tinklų plėtra Voškonių k. Jovarų g., L-1,046 km (bendras projektas su UAB „Turto vystymo projektai")</t>
  </si>
  <si>
    <t>Nuotekų tinklų plėtra Voškonių k. Jovarų g., L-1,358 km (bendras projektas su UAB „Turto vystymo projektai")</t>
  </si>
  <si>
    <r>
      <t xml:space="preserve">Nuotekų tinklų statyba Raudondvario k. L-0,630 km (Ievų g. L-0,369 km, Taikos g. L-0,261 km) </t>
    </r>
    <r>
      <rPr>
        <sz val="9"/>
        <rFont val="Times New Roman"/>
        <family val="1"/>
        <charset val="186"/>
      </rPr>
      <t>LAAIF</t>
    </r>
  </si>
  <si>
    <t>Vandentiekio trasos įrengimas Čekiškės mstl. (nuo mokyklos iki Gegužėnų k. vandenvietės, L-1,826 km</t>
  </si>
  <si>
    <t>Vandentiekio tinklų rekonstrukcija Raudondvario k. Dainavos g., L-0,346 km</t>
  </si>
  <si>
    <t xml:space="preserve">Vandentiekio ir nuotekų tinklų rekonstrukcija Raudondvario k. Dainavos g. (VT-0,346 km, NT-0,018 km) </t>
  </si>
  <si>
    <t>Vandentiekio tinklų atnaujinimas Liučiūnų k. Sodų g., L-0,884 km</t>
  </si>
  <si>
    <t>Vandentiekio ir nuotekų tinklų plėtra Šlienavos k. Miško g. (vandentiekio tinklai (L-0,583 km), nuotekų tinklai (L-0,584 km)</t>
  </si>
  <si>
    <t>Vandentiekio tinklų plėtra Šlienavos k. Laumiašakio g., Žaisos g. (L-0,663 km)</t>
  </si>
  <si>
    <t>Nuotekų tinklų plėtra Šlienavos k. Laumiašakio g., Žaisos g. L-0,699 km</t>
  </si>
  <si>
    <t>Vandentiekio ir nuotekų tinklų plėtra Šlienavos k. Laumiašakio g., Žaisos g. (vand. tinklai L-0,663 km, nuot. tinklai L-0,699 km)</t>
  </si>
  <si>
    <t>tūkst. Eur</t>
  </si>
  <si>
    <t>Ilgalaikio turto įsigijimo šaltiniai (įskaitant patikėjimo teise naudojamą turtą)</t>
  </si>
  <si>
    <t>iš šio skaičiaus, paviršinių nuotekų ilgalaikio turto nusidėvėjimo lėšos</t>
  </si>
  <si>
    <t xml:space="preserve">Nuotekų tinklų statyba Raudondvario k. L-0,630 km (Ievų g. L-0,369 km, Taikos g. L-0,261 km) </t>
  </si>
  <si>
    <t>Iš viso LAAIF lėšų projektui „Buitinių nuotekų tinklų plėtra Kauno raj. aglomeracijose virš 2000 G.E.“</t>
  </si>
  <si>
    <t>Lėšos projektui „Buitinių nuotekų tinklų plėtra Kauno r. aglomeracijose virš 2000 G.E.“ (LAAIF programa)</t>
  </si>
  <si>
    <t>KRS lėšos projektui su UAB „Turto vystymo projektai"</t>
  </si>
  <si>
    <t>Lėšos projektui „Vandens tiekimo ir nuotekų tvarkymo infrastruktūros atnaujinimas ir plėtra Kauno rajone (2014-2020 m. I etapas)" (iš sutaupytų lėšų)</t>
  </si>
  <si>
    <t>Iš viso KRS lėšų projektui „Buitinių nuotekų tinklų plėtra Kauno r. aglomeracijose virš 2000 G.E.“</t>
  </si>
  <si>
    <t xml:space="preserve">Vandentiekio tinklų plėtra Babtų mstl. Pergalės g. ir Tulpių g. (II etapas), (L-0,595 km) </t>
  </si>
  <si>
    <t>Nuotekų tinklų plėtra Vaišvydavos k. Sodų g. (2018 m. TP, 2019 m. NT plėtros darbai)</t>
  </si>
  <si>
    <t>Nuotekų tinklų plėtra Babtų mstl. Kėdainių, Taikos, Šilo ir Alytaus g. (I etapas), (L-2,487 km)</t>
  </si>
  <si>
    <t>Nuotekų tinklų plėtra Babtų mstl.  Mokyklos, Tulpių, Akacijų ir Pergalės g. (II etapas), (L-1,153 km)</t>
  </si>
  <si>
    <t>Nuotekų tinklų plėtra Babtų mstl. Kėdainių, Taikos, Šilo ir Alytaus g. (I etapas), L-2,487 km</t>
  </si>
  <si>
    <t>Nuotekų tinklų plėtra Babtų mstl. Mokyklos, Tulpių, Akacijų ir Pergalės g. (II etapas), L-1,153 km ir vandentiekio tinklų plėtra Babtų mstl. Pergalės ir Tulpių g. (II etapas), L-0,595 km</t>
  </si>
  <si>
    <t>Nuotekų tinklų plėtra Karmėlavoje, B. Buračo g. (L-0,037 km)</t>
  </si>
  <si>
    <t>Artezinių gręžinių įrengimas ir remontas</t>
  </si>
  <si>
    <t>Vandens gerinimo įrenginių įrengimas ir remontas</t>
  </si>
  <si>
    <t>Vandens tiekimo tinklų įrengimas ir remontas</t>
  </si>
  <si>
    <t>Buitinių nuotekų tinklų įrengimas ir remontas</t>
  </si>
  <si>
    <t>Paviršinių (lietaus) nuotekų tinklų įrengimas ir remontas</t>
  </si>
  <si>
    <t>Nuotekų siurblinių atnaujinimas ir remontas</t>
  </si>
  <si>
    <t>Nuotekų valymo įrenginių statyba ir remontas</t>
  </si>
  <si>
    <t>Gamybinių pastatų remontas (ir teritorijos sutvarkymas)</t>
  </si>
  <si>
    <t>(Kauno rajono savivaldybės tarybos 2021 m. spalio 21  d. sprendimo Nr. TS- 389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</si>
</sst>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7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4" fontId="4" fillId="0" borderId="0" xfId="0" applyNumberFormat="1" applyFont="1" applyAlignment="1" applyProtection="1">
      <alignment vertical="center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49" fontId="3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vertical="center"/>
      <protection hidden="1"/>
    </xf>
    <xf numFmtId="4" fontId="4" fillId="0" borderId="23" xfId="0" applyNumberFormat="1" applyFont="1" applyBorder="1" applyAlignment="1" applyProtection="1">
      <alignment vertical="center"/>
      <protection hidden="1"/>
    </xf>
    <xf numFmtId="4" fontId="4" fillId="0" borderId="16" xfId="0" applyNumberFormat="1" applyFont="1" applyBorder="1" applyAlignment="1" applyProtection="1">
      <alignment vertical="center"/>
      <protection hidden="1"/>
    </xf>
    <xf numFmtId="4" fontId="4" fillId="0" borderId="24" xfId="0" applyNumberFormat="1" applyFont="1" applyBorder="1" applyAlignment="1" applyProtection="1">
      <alignment vertical="center"/>
      <protection hidden="1"/>
    </xf>
    <xf numFmtId="4" fontId="4" fillId="0" borderId="17" xfId="0" applyNumberFormat="1" applyFont="1" applyBorder="1" applyAlignment="1" applyProtection="1">
      <alignment vertical="center"/>
      <protection hidden="1"/>
    </xf>
    <xf numFmtId="4" fontId="9" fillId="0" borderId="23" xfId="0" applyNumberFormat="1" applyFont="1" applyBorder="1" applyAlignment="1" applyProtection="1">
      <alignment vertical="center"/>
      <protection hidden="1"/>
    </xf>
    <xf numFmtId="0" fontId="12" fillId="0" borderId="17" xfId="0" applyFont="1" applyBorder="1" applyAlignment="1" applyProtection="1">
      <alignment vertical="center" wrapText="1"/>
      <protection hidden="1"/>
    </xf>
    <xf numFmtId="4" fontId="12" fillId="0" borderId="16" xfId="0" applyNumberFormat="1" applyFont="1" applyBorder="1" applyAlignment="1" applyProtection="1">
      <alignment vertical="center"/>
      <protection hidden="1"/>
    </xf>
    <xf numFmtId="4" fontId="12" fillId="0" borderId="24" xfId="0" applyNumberFormat="1" applyFont="1" applyBorder="1" applyAlignment="1" applyProtection="1">
      <alignment vertical="center"/>
      <protection hidden="1"/>
    </xf>
    <xf numFmtId="4" fontId="12" fillId="0" borderId="17" xfId="0" applyNumberFormat="1" applyFont="1" applyBorder="1" applyAlignment="1" applyProtection="1">
      <alignment vertical="center"/>
      <protection hidden="1"/>
    </xf>
    <xf numFmtId="0" fontId="9" fillId="0" borderId="17" xfId="0" applyFont="1" applyBorder="1" applyAlignment="1" applyProtection="1">
      <alignment vertical="center"/>
      <protection hidden="1"/>
    </xf>
    <xf numFmtId="0" fontId="9" fillId="0" borderId="23" xfId="0" applyFont="1" applyBorder="1" applyAlignment="1" applyProtection="1">
      <alignment vertical="center"/>
      <protection hidden="1"/>
    </xf>
    <xf numFmtId="0" fontId="13" fillId="0" borderId="25" xfId="0" applyFont="1" applyBorder="1" applyAlignment="1">
      <alignment vertical="top" wrapText="1"/>
    </xf>
    <xf numFmtId="0" fontId="4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horizontal="right" vertical="center" wrapText="1"/>
    </xf>
    <xf numFmtId="4" fontId="9" fillId="0" borderId="16" xfId="0" applyNumberFormat="1" applyFont="1" applyBorder="1" applyAlignment="1" applyProtection="1">
      <alignment vertical="center"/>
      <protection hidden="1"/>
    </xf>
    <xf numFmtId="4" fontId="9" fillId="0" borderId="24" xfId="0" applyNumberFormat="1" applyFont="1" applyBorder="1" applyAlignment="1" applyProtection="1">
      <alignment vertical="center"/>
      <protection hidden="1"/>
    </xf>
    <xf numFmtId="4" fontId="9" fillId="0" borderId="17" xfId="0" applyNumberFormat="1" applyFont="1" applyBorder="1" applyAlignment="1" applyProtection="1">
      <alignment vertical="center"/>
      <protection hidden="1"/>
    </xf>
    <xf numFmtId="0" fontId="16" fillId="0" borderId="24" xfId="0" applyFont="1" applyBorder="1" applyAlignment="1">
      <alignment vertical="center" wrapText="1"/>
    </xf>
    <xf numFmtId="0" fontId="10" fillId="0" borderId="24" xfId="0" applyFont="1" applyBorder="1" applyAlignment="1">
      <alignment vertical="top" wrapText="1"/>
    </xf>
    <xf numFmtId="4" fontId="4" fillId="0" borderId="23" xfId="0" applyNumberFormat="1" applyFont="1" applyBorder="1" applyAlignment="1" applyProtection="1">
      <alignment vertical="center"/>
      <protection locked="0"/>
    </xf>
    <xf numFmtId="4" fontId="4" fillId="0" borderId="16" xfId="0" applyNumberFormat="1" applyFont="1" applyBorder="1" applyAlignment="1" applyProtection="1">
      <alignment vertical="center"/>
      <protection locked="0"/>
    </xf>
    <xf numFmtId="4" fontId="4" fillId="0" borderId="24" xfId="0" applyNumberFormat="1" applyFont="1" applyBorder="1" applyAlignment="1" applyProtection="1">
      <alignment vertical="center"/>
      <protection locked="0"/>
    </xf>
    <xf numFmtId="4" fontId="4" fillId="0" borderId="17" xfId="0" applyNumberFormat="1" applyFont="1" applyBorder="1" applyAlignment="1" applyProtection="1">
      <alignment vertical="center"/>
      <protection locked="0"/>
    </xf>
    <xf numFmtId="0" fontId="4" fillId="0" borderId="24" xfId="0" applyFont="1" applyBorder="1" applyAlignment="1">
      <alignment vertical="top" wrapText="1"/>
    </xf>
    <xf numFmtId="0" fontId="10" fillId="0" borderId="24" xfId="0" applyFont="1" applyBorder="1" applyAlignment="1">
      <alignment vertical="center" wrapText="1"/>
    </xf>
    <xf numFmtId="4" fontId="9" fillId="0" borderId="23" xfId="0" applyNumberFormat="1" applyFont="1" applyBorder="1" applyAlignment="1" applyProtection="1">
      <alignment vertical="center"/>
      <protection locked="0"/>
    </xf>
    <xf numFmtId="0" fontId="15" fillId="0" borderId="25" xfId="0" applyFont="1" applyBorder="1" applyAlignment="1">
      <alignment horizontal="right" vertical="center"/>
    </xf>
    <xf numFmtId="4" fontId="9" fillId="0" borderId="16" xfId="0" applyNumberFormat="1" applyFont="1" applyBorder="1" applyAlignment="1" applyProtection="1">
      <alignment vertical="center"/>
      <protection locked="0"/>
    </xf>
    <xf numFmtId="4" fontId="9" fillId="0" borderId="24" xfId="0" applyNumberFormat="1" applyFont="1" applyBorder="1" applyAlignment="1" applyProtection="1">
      <alignment vertical="center"/>
      <protection locked="0"/>
    </xf>
    <xf numFmtId="4" fontId="9" fillId="0" borderId="17" xfId="0" applyNumberFormat="1" applyFont="1" applyBorder="1" applyAlignment="1" applyProtection="1">
      <alignment vertical="center"/>
      <protection locked="0"/>
    </xf>
    <xf numFmtId="0" fontId="15" fillId="0" borderId="26" xfId="0" applyFont="1" applyBorder="1" applyAlignment="1">
      <alignment horizontal="left" vertical="center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/>
      <protection hidden="1"/>
    </xf>
    <xf numFmtId="0" fontId="4" fillId="0" borderId="28" xfId="0" applyFont="1" applyBorder="1" applyAlignment="1">
      <alignment wrapText="1"/>
    </xf>
    <xf numFmtId="0" fontId="15" fillId="0" borderId="26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 wrapText="1"/>
    </xf>
    <xf numFmtId="0" fontId="13" fillId="0" borderId="26" xfId="0" applyFont="1" applyBorder="1" applyAlignment="1" applyProtection="1">
      <alignment vertical="center"/>
      <protection locked="0"/>
    </xf>
    <xf numFmtId="0" fontId="4" fillId="0" borderId="24" xfId="0" applyFont="1" applyBorder="1" applyAlignment="1">
      <alignment vertical="center" wrapText="1"/>
    </xf>
    <xf numFmtId="0" fontId="15" fillId="0" borderId="26" xfId="0" applyFont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9" fillId="0" borderId="24" xfId="0" applyFont="1" applyBorder="1" applyAlignment="1">
      <alignment horizontal="right" vertical="center" wrapText="1"/>
    </xf>
    <xf numFmtId="0" fontId="8" fillId="2" borderId="30" xfId="0" applyFont="1" applyFill="1" applyBorder="1" applyAlignment="1" applyProtection="1">
      <alignment vertical="center"/>
      <protection hidden="1"/>
    </xf>
    <xf numFmtId="0" fontId="9" fillId="0" borderId="17" xfId="0" applyFont="1" applyBorder="1" applyAlignment="1">
      <alignment horizontal="right" vertical="center" wrapText="1"/>
    </xf>
    <xf numFmtId="0" fontId="8" fillId="2" borderId="16" xfId="0" applyFont="1" applyFill="1" applyBorder="1" applyAlignment="1" applyProtection="1">
      <alignment vertical="center"/>
      <protection hidden="1"/>
    </xf>
    <xf numFmtId="0" fontId="9" fillId="0" borderId="17" xfId="0" applyFont="1" applyBorder="1" applyAlignment="1">
      <alignment vertical="center" wrapText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14" fontId="4" fillId="2" borderId="16" xfId="0" applyNumberFormat="1" applyFont="1" applyFill="1" applyBorder="1" applyAlignment="1" applyProtection="1">
      <alignment horizontal="center" vertical="center"/>
      <protection hidden="1"/>
    </xf>
    <xf numFmtId="0" fontId="20" fillId="0" borderId="24" xfId="0" applyFont="1" applyBorder="1" applyAlignment="1">
      <alignment vertical="center" wrapText="1"/>
    </xf>
    <xf numFmtId="49" fontId="4" fillId="2" borderId="16" xfId="0" applyNumberFormat="1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16" fillId="0" borderId="17" xfId="0" applyFont="1" applyBorder="1" applyAlignment="1">
      <alignment horizontal="right" vertical="center"/>
    </xf>
    <xf numFmtId="0" fontId="8" fillId="2" borderId="26" xfId="0" applyFont="1" applyFill="1" applyBorder="1" applyAlignment="1" applyProtection="1">
      <alignment vertical="center"/>
      <protection hidden="1"/>
    </xf>
    <xf numFmtId="0" fontId="16" fillId="0" borderId="17" xfId="0" applyFont="1" applyBorder="1" applyAlignment="1">
      <alignment horizontal="left" vertical="center" wrapText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right" vertical="center"/>
    </xf>
    <xf numFmtId="0" fontId="9" fillId="2" borderId="27" xfId="0" applyFont="1" applyFill="1" applyBorder="1" applyAlignment="1" applyProtection="1">
      <alignment horizontal="center" vertical="center"/>
      <protection hidden="1"/>
    </xf>
    <xf numFmtId="0" fontId="15" fillId="0" borderId="31" xfId="0" applyFont="1" applyBorder="1" applyAlignment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center" vertical="center"/>
      <protection hidden="1"/>
    </xf>
    <xf numFmtId="0" fontId="10" fillId="0" borderId="31" xfId="0" applyFont="1" applyBorder="1" applyAlignment="1">
      <alignment horizontal="left" vertical="center" wrapText="1"/>
    </xf>
    <xf numFmtId="49" fontId="9" fillId="2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/>
    <xf numFmtId="0" fontId="9" fillId="2" borderId="16" xfId="0" applyFont="1" applyFill="1" applyBorder="1" applyAlignment="1" applyProtection="1">
      <alignment horizontal="center" vertical="center"/>
      <protection hidden="1"/>
    </xf>
    <xf numFmtId="0" fontId="13" fillId="0" borderId="33" xfId="0" applyFont="1" applyBorder="1" applyAlignment="1" applyProtection="1">
      <alignment vertical="center"/>
      <protection hidden="1"/>
    </xf>
    <xf numFmtId="0" fontId="4" fillId="0" borderId="29" xfId="0" applyFont="1" applyBorder="1" applyAlignment="1">
      <alignment vertical="center" wrapText="1"/>
    </xf>
    <xf numFmtId="0" fontId="4" fillId="0" borderId="29" xfId="0" applyFont="1" applyBorder="1" applyAlignment="1">
      <alignment horizontal="left" vertical="center" wrapText="1"/>
    </xf>
    <xf numFmtId="0" fontId="10" fillId="0" borderId="29" xfId="0" applyFont="1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4" fontId="10" fillId="0" borderId="23" xfId="0" applyNumberFormat="1" applyFon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0" fontId="4" fillId="0" borderId="29" xfId="0" applyFont="1" applyBorder="1" applyAlignment="1">
      <alignment wrapText="1"/>
    </xf>
    <xf numFmtId="4" fontId="4" fillId="0" borderId="23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4" fillId="0" borderId="34" xfId="0" applyFont="1" applyBorder="1" applyAlignment="1">
      <alignment wrapText="1"/>
    </xf>
    <xf numFmtId="4" fontId="4" fillId="0" borderId="35" xfId="0" applyNumberFormat="1" applyFont="1" applyBorder="1" applyAlignment="1">
      <alignment vertical="center"/>
    </xf>
    <xf numFmtId="4" fontId="4" fillId="0" borderId="27" xfId="0" applyNumberFormat="1" applyFont="1" applyBorder="1" applyAlignment="1">
      <alignment vertical="center"/>
    </xf>
    <xf numFmtId="4" fontId="4" fillId="0" borderId="36" xfId="0" applyNumberFormat="1" applyFont="1" applyBorder="1" applyAlignment="1" applyProtection="1">
      <alignment vertical="center"/>
      <protection locked="0"/>
    </xf>
    <xf numFmtId="4" fontId="4" fillId="0" borderId="37" xfId="0" applyNumberFormat="1" applyFont="1" applyBorder="1" applyAlignment="1" applyProtection="1">
      <alignment vertical="center"/>
      <protection locked="0"/>
    </xf>
    <xf numFmtId="4" fontId="9" fillId="0" borderId="35" xfId="0" applyNumberFormat="1" applyFont="1" applyBorder="1" applyAlignment="1" applyProtection="1">
      <alignment vertical="center"/>
      <protection hidden="1"/>
    </xf>
    <xf numFmtId="4" fontId="4" fillId="0" borderId="27" xfId="0" applyNumberFormat="1" applyFont="1" applyBorder="1" applyAlignment="1" applyProtection="1">
      <alignment vertical="center"/>
      <protection locked="0"/>
    </xf>
    <xf numFmtId="4" fontId="4" fillId="0" borderId="34" xfId="0" applyNumberFormat="1" applyFont="1" applyBorder="1" applyAlignment="1" applyProtection="1">
      <alignment vertical="center"/>
      <protection locked="0"/>
    </xf>
    <xf numFmtId="4" fontId="4" fillId="0" borderId="38" xfId="0" applyNumberFormat="1" applyFont="1" applyBorder="1" applyAlignment="1" applyProtection="1">
      <alignment vertical="center"/>
      <protection locked="0"/>
    </xf>
    <xf numFmtId="49" fontId="9" fillId="2" borderId="16" xfId="0" applyNumberFormat="1" applyFont="1" applyFill="1" applyBorder="1" applyAlignment="1" applyProtection="1">
      <alignment horizontal="center" vertical="center"/>
      <protection hidden="1"/>
    </xf>
    <xf numFmtId="0" fontId="15" fillId="0" borderId="29" xfId="0" applyFont="1" applyBorder="1" applyAlignment="1">
      <alignment horizontal="left" vertical="center" wrapText="1"/>
    </xf>
    <xf numFmtId="4" fontId="4" fillId="0" borderId="39" xfId="0" applyNumberFormat="1" applyFont="1" applyBorder="1" applyAlignment="1">
      <alignment vertical="center"/>
    </xf>
    <xf numFmtId="4" fontId="4" fillId="0" borderId="29" xfId="0" applyNumberFormat="1" applyFont="1" applyBorder="1" applyAlignment="1" applyProtection="1">
      <alignment vertical="center"/>
      <protection locked="0"/>
    </xf>
    <xf numFmtId="4" fontId="4" fillId="0" borderId="39" xfId="0" applyNumberFormat="1" applyFont="1" applyBorder="1" applyAlignment="1" applyProtection="1">
      <alignment vertical="center"/>
      <protection locked="0"/>
    </xf>
    <xf numFmtId="49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10" fillId="0" borderId="41" xfId="0" applyFont="1" applyBorder="1" applyAlignment="1">
      <alignment horizontal="left" vertical="center" wrapText="1"/>
    </xf>
    <xf numFmtId="4" fontId="4" fillId="0" borderId="42" xfId="0" applyNumberFormat="1" applyFont="1" applyBorder="1" applyAlignment="1">
      <alignment vertical="center"/>
    </xf>
    <xf numFmtId="4" fontId="4" fillId="0" borderId="43" xfId="0" applyNumberFormat="1" applyFont="1" applyBorder="1" applyAlignment="1">
      <alignment vertical="center"/>
    </xf>
    <xf numFmtId="4" fontId="4" fillId="0" borderId="44" xfId="0" applyNumberFormat="1" applyFont="1" applyBorder="1" applyAlignment="1" applyProtection="1">
      <alignment vertical="center"/>
      <protection locked="0"/>
    </xf>
    <xf numFmtId="4" fontId="4" fillId="0" borderId="45" xfId="0" applyNumberFormat="1" applyFont="1" applyBorder="1" applyAlignment="1" applyProtection="1">
      <alignment vertical="center"/>
      <protection locked="0"/>
    </xf>
    <xf numFmtId="4" fontId="9" fillId="0" borderId="42" xfId="0" applyNumberFormat="1" applyFont="1" applyBorder="1" applyAlignment="1" applyProtection="1">
      <alignment vertical="center"/>
      <protection hidden="1"/>
    </xf>
    <xf numFmtId="4" fontId="4" fillId="0" borderId="43" xfId="0" applyNumberFormat="1" applyFont="1" applyBorder="1" applyAlignment="1" applyProtection="1">
      <alignment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hidden="1"/>
    </xf>
    <xf numFmtId="4" fontId="4" fillId="0" borderId="11" xfId="0" applyNumberFormat="1" applyFont="1" applyBorder="1" applyAlignment="1" applyProtection="1">
      <alignment vertical="center"/>
      <protection hidden="1"/>
    </xf>
    <xf numFmtId="4" fontId="0" fillId="0" borderId="0" xfId="0" applyNumberFormat="1"/>
    <xf numFmtId="0" fontId="13" fillId="0" borderId="17" xfId="0" applyFont="1" applyBorder="1" applyAlignment="1" applyProtection="1">
      <alignment vertical="center" wrapText="1"/>
      <protection locked="0"/>
    </xf>
    <xf numFmtId="0" fontId="15" fillId="0" borderId="25" xfId="0" applyFont="1" applyBorder="1" applyAlignment="1">
      <alignment horizontal="right" vertical="center" wrapText="1"/>
    </xf>
    <xf numFmtId="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hidden="1"/>
    </xf>
    <xf numFmtId="0" fontId="2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31" xfId="0" applyBorder="1"/>
    <xf numFmtId="0" fontId="9" fillId="4" borderId="16" xfId="0" applyFont="1" applyFill="1" applyBorder="1" applyAlignment="1" applyProtection="1">
      <alignment horizontal="center" vertical="center"/>
      <protection hidden="1"/>
    </xf>
    <xf numFmtId="4" fontId="9" fillId="4" borderId="18" xfId="0" applyNumberFormat="1" applyFont="1" applyFill="1" applyBorder="1" applyAlignment="1" applyProtection="1">
      <alignment vertical="center"/>
      <protection hidden="1"/>
    </xf>
    <xf numFmtId="4" fontId="9" fillId="4" borderId="19" xfId="0" applyNumberFormat="1" applyFont="1" applyFill="1" applyBorder="1" applyAlignment="1" applyProtection="1">
      <alignment vertical="center"/>
      <protection hidden="1"/>
    </xf>
    <xf numFmtId="4" fontId="9" fillId="4" borderId="20" xfId="0" applyNumberFormat="1" applyFont="1" applyFill="1" applyBorder="1" applyAlignment="1" applyProtection="1">
      <alignment vertical="center"/>
      <protection hidden="1"/>
    </xf>
    <xf numFmtId="4" fontId="9" fillId="4" borderId="21" xfId="0" applyNumberFormat="1" applyFont="1" applyFill="1" applyBorder="1" applyAlignment="1" applyProtection="1">
      <alignment vertical="center"/>
      <protection hidden="1"/>
    </xf>
    <xf numFmtId="4" fontId="9" fillId="4" borderId="22" xfId="0" applyNumberFormat="1" applyFont="1" applyFill="1" applyBorder="1" applyAlignment="1" applyProtection="1">
      <alignment vertical="center"/>
      <protection hidden="1"/>
    </xf>
    <xf numFmtId="0" fontId="9" fillId="4" borderId="32" xfId="0" applyFont="1" applyFill="1" applyBorder="1" applyAlignment="1" applyProtection="1">
      <alignment vertical="center"/>
      <protection hidden="1"/>
    </xf>
    <xf numFmtId="4" fontId="9" fillId="4" borderId="23" xfId="0" applyNumberFormat="1" applyFont="1" applyFill="1" applyBorder="1" applyAlignment="1" applyProtection="1">
      <alignment vertical="center"/>
      <protection hidden="1"/>
    </xf>
    <xf numFmtId="4" fontId="9" fillId="4" borderId="16" xfId="0" applyNumberFormat="1" applyFont="1" applyFill="1" applyBorder="1" applyAlignment="1" applyProtection="1">
      <alignment vertical="center"/>
      <protection hidden="1"/>
    </xf>
    <xf numFmtId="4" fontId="9" fillId="4" borderId="24" xfId="0" applyNumberFormat="1" applyFont="1" applyFill="1" applyBorder="1" applyAlignment="1" applyProtection="1">
      <alignment vertical="center"/>
      <protection hidden="1"/>
    </xf>
    <xf numFmtId="4" fontId="9" fillId="4" borderId="17" xfId="0" applyNumberFormat="1" applyFont="1" applyFill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4" borderId="17" xfId="0" applyFont="1" applyFill="1" applyBorder="1" applyAlignment="1" applyProtection="1">
      <alignment vertical="center" wrapText="1"/>
      <protection hidden="1"/>
    </xf>
    <xf numFmtId="0" fontId="9" fillId="0" borderId="12" xfId="0" applyFont="1" applyBorder="1" applyAlignment="1" applyProtection="1">
      <alignment vertical="center" wrapText="1"/>
      <protection hidden="1"/>
    </xf>
    <xf numFmtId="4" fontId="4" fillId="0" borderId="10" xfId="0" applyNumberFormat="1" applyFont="1" applyBorder="1" applyAlignment="1" applyProtection="1">
      <alignment vertical="center"/>
      <protection hidden="1"/>
    </xf>
    <xf numFmtId="4" fontId="9" fillId="0" borderId="13" xfId="0" applyNumberFormat="1" applyFont="1" applyBorder="1" applyAlignment="1" applyProtection="1">
      <alignment vertical="center"/>
      <protection hidden="1"/>
    </xf>
    <xf numFmtId="4" fontId="4" fillId="0" borderId="12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>
      <alignment horizontal="center" vertical="center" wrapText="1"/>
    </xf>
    <xf numFmtId="1" fontId="9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>
      <alignment horizontal="center" vertical="center" wrapText="1"/>
    </xf>
    <xf numFmtId="1" fontId="9" fillId="0" borderId="4" xfId="0" applyNumberFormat="1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8"/>
  <sheetViews>
    <sheetView tabSelected="1" topLeftCell="H1" zoomScale="108" zoomScaleNormal="108" workbookViewId="0">
      <selection activeCell="U9" sqref="U9"/>
    </sheetView>
  </sheetViews>
  <sheetFormatPr defaultRowHeight="15" x14ac:dyDescent="0.25"/>
  <cols>
    <col min="1" max="1" width="6.5703125" customWidth="1"/>
    <col min="2" max="2" width="48.42578125" customWidth="1"/>
    <col min="3" max="3" width="8" customWidth="1"/>
    <col min="4" max="4" width="6.7109375" customWidth="1"/>
    <col min="5" max="5" width="7" customWidth="1"/>
    <col min="6" max="6" width="7.85546875" customWidth="1"/>
    <col min="7" max="7" width="7.5703125" customWidth="1"/>
    <col min="8" max="8" width="7.7109375" customWidth="1"/>
    <col min="9" max="9" width="6.7109375" customWidth="1"/>
    <col min="10" max="10" width="8.28515625" customWidth="1"/>
    <col min="11" max="11" width="7.85546875" customWidth="1"/>
    <col min="12" max="13" width="7.7109375" customWidth="1"/>
    <col min="14" max="15" width="6.7109375" customWidth="1"/>
    <col min="16" max="18" width="7.85546875" customWidth="1"/>
    <col min="19" max="19" width="8.5703125" customWidth="1"/>
  </cols>
  <sheetData>
    <row r="1" spans="1:19" ht="15.75" x14ac:dyDescent="0.25">
      <c r="A1" s="1"/>
      <c r="B1" s="2"/>
      <c r="C1" s="3"/>
      <c r="D1" s="3"/>
      <c r="E1" s="3"/>
      <c r="F1" s="3"/>
      <c r="G1" s="3"/>
      <c r="H1" s="3"/>
      <c r="J1" s="4" t="s">
        <v>0</v>
      </c>
      <c r="K1" s="1"/>
      <c r="L1" s="4"/>
      <c r="M1" s="4"/>
      <c r="N1" s="4"/>
      <c r="O1" s="4"/>
      <c r="P1" s="4"/>
      <c r="Q1" s="4"/>
      <c r="R1" s="4"/>
      <c r="S1" s="5"/>
    </row>
    <row r="2" spans="1:19" ht="15.75" x14ac:dyDescent="0.25">
      <c r="A2" s="1"/>
      <c r="B2" s="2"/>
      <c r="C2" s="3"/>
      <c r="D2" s="3"/>
      <c r="E2" s="3"/>
      <c r="F2" s="3"/>
      <c r="G2" s="3"/>
      <c r="H2" s="3"/>
      <c r="J2" s="4" t="s">
        <v>487</v>
      </c>
      <c r="K2" s="4"/>
      <c r="L2" s="4"/>
      <c r="M2" s="4"/>
      <c r="N2" s="4"/>
      <c r="O2" s="4"/>
      <c r="P2" s="4"/>
      <c r="Q2" s="4"/>
      <c r="R2" s="4"/>
      <c r="S2" s="6"/>
    </row>
    <row r="3" spans="1:19" ht="15.75" x14ac:dyDescent="0.25">
      <c r="A3" s="1"/>
      <c r="B3" s="2"/>
      <c r="C3" s="3"/>
      <c r="D3" s="3"/>
      <c r="E3" s="3"/>
      <c r="F3" s="3"/>
      <c r="G3" s="3"/>
      <c r="H3" s="3"/>
      <c r="I3" s="4"/>
      <c r="J3" s="154" t="s">
        <v>591</v>
      </c>
      <c r="K3" s="154"/>
      <c r="L3" s="154"/>
      <c r="M3" s="154"/>
      <c r="N3" s="154"/>
      <c r="O3" s="154"/>
      <c r="P3" s="154"/>
      <c r="Q3" s="154"/>
      <c r="R3" s="154"/>
      <c r="S3" s="154"/>
    </row>
    <row r="4" spans="1:19" ht="15.75" x14ac:dyDescent="0.25">
      <c r="A4" s="7"/>
      <c r="B4" s="8"/>
      <c r="C4" s="7"/>
      <c r="D4" s="7"/>
      <c r="E4" s="7"/>
      <c r="F4" s="7"/>
      <c r="G4" s="7"/>
      <c r="H4" s="7"/>
      <c r="J4" s="4" t="s">
        <v>1</v>
      </c>
      <c r="K4" s="9"/>
      <c r="L4" s="4"/>
      <c r="M4" s="4"/>
      <c r="N4" s="4"/>
      <c r="O4" s="4"/>
      <c r="P4" s="4"/>
      <c r="Q4" s="4"/>
      <c r="R4" s="4"/>
      <c r="S4" s="4"/>
    </row>
    <row r="5" spans="1:19" ht="15.75" x14ac:dyDescent="0.25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0"/>
      <c r="Q5" s="10"/>
      <c r="R5" s="155"/>
      <c r="S5" s="155"/>
    </row>
    <row r="6" spans="1:19" x14ac:dyDescent="0.25">
      <c r="A6" s="156" t="s">
        <v>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</row>
    <row r="7" spans="1:19" s="131" customFormat="1" ht="16.5" customHeight="1" thickBot="1" x14ac:dyDescent="0.3">
      <c r="A7" s="130"/>
      <c r="B7" s="128"/>
      <c r="C7" s="128"/>
      <c r="D7" s="127"/>
      <c r="E7" s="127"/>
      <c r="F7" s="127"/>
      <c r="G7" s="127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32" t="s">
        <v>567</v>
      </c>
    </row>
    <row r="8" spans="1:19" ht="15.75" thickBot="1" x14ac:dyDescent="0.3">
      <c r="A8" s="158" t="s">
        <v>3</v>
      </c>
      <c r="B8" s="160" t="s">
        <v>4</v>
      </c>
      <c r="C8" s="162" t="s">
        <v>5</v>
      </c>
      <c r="D8" s="164" t="s">
        <v>6</v>
      </c>
      <c r="E8" s="165"/>
      <c r="F8" s="165"/>
      <c r="G8" s="165"/>
      <c r="H8" s="166"/>
      <c r="I8" s="164" t="s">
        <v>7</v>
      </c>
      <c r="J8" s="165"/>
      <c r="K8" s="165"/>
      <c r="L8" s="165"/>
      <c r="M8" s="166"/>
      <c r="N8" s="164" t="s">
        <v>8</v>
      </c>
      <c r="O8" s="165"/>
      <c r="P8" s="165"/>
      <c r="Q8" s="165"/>
      <c r="R8" s="166"/>
      <c r="S8" s="167" t="s">
        <v>9</v>
      </c>
    </row>
    <row r="9" spans="1:19" ht="28.5" customHeight="1" thickBot="1" x14ac:dyDescent="0.3">
      <c r="A9" s="159"/>
      <c r="B9" s="161"/>
      <c r="C9" s="163"/>
      <c r="D9" s="146" t="s">
        <v>10</v>
      </c>
      <c r="E9" s="145" t="s">
        <v>11</v>
      </c>
      <c r="F9" s="145" t="s">
        <v>12</v>
      </c>
      <c r="G9" s="147" t="s">
        <v>13</v>
      </c>
      <c r="H9" s="13" t="s">
        <v>14</v>
      </c>
      <c r="I9" s="11" t="s">
        <v>10</v>
      </c>
      <c r="J9" s="12" t="s">
        <v>11</v>
      </c>
      <c r="K9" s="145" t="s">
        <v>12</v>
      </c>
      <c r="L9" s="147" t="s">
        <v>13</v>
      </c>
      <c r="M9" s="14" t="s">
        <v>14</v>
      </c>
      <c r="N9" s="15" t="s">
        <v>10</v>
      </c>
      <c r="O9" s="12" t="s">
        <v>11</v>
      </c>
      <c r="P9" s="145" t="s">
        <v>12</v>
      </c>
      <c r="Q9" s="147" t="s">
        <v>13</v>
      </c>
      <c r="R9" s="148" t="s">
        <v>14</v>
      </c>
      <c r="S9" s="168"/>
    </row>
    <row r="10" spans="1:19" ht="25.5" x14ac:dyDescent="0.25">
      <c r="A10" s="134" t="s">
        <v>15</v>
      </c>
      <c r="B10" s="149" t="s">
        <v>568</v>
      </c>
      <c r="C10" s="135">
        <f>+C11+C17+C46+C167+C187+C191+C192+C195</f>
        <v>2330.7188500000002</v>
      </c>
      <c r="D10" s="136">
        <f>+D11+D17+D46+D167+D187+D191+D192+D195</f>
        <v>176.8</v>
      </c>
      <c r="E10" s="137">
        <f>+E11+E17+E46+E167+E187+E191+E192+E195</f>
        <v>412.79</v>
      </c>
      <c r="F10" s="137">
        <f>+F11+F17+F46+F167+F187+F191+F192+F195</f>
        <v>1631.7</v>
      </c>
      <c r="G10" s="138">
        <f>+G11+G17+G46+G167+G187+G191+G192+G195</f>
        <v>4291.43</v>
      </c>
      <c r="H10" s="135">
        <f>+D10+E10+F10+G10</f>
        <v>6512.72</v>
      </c>
      <c r="I10" s="136">
        <f>+I11+I17+I46+I167+I187+I191+I192+I195</f>
        <v>545.46</v>
      </c>
      <c r="J10" s="137">
        <f>+J11+J17+J46+J167+J187+J191+J192+J195</f>
        <v>1443.3</v>
      </c>
      <c r="K10" s="137">
        <f>+K11+K17+K46+K167+K187+K191+K192+K195</f>
        <v>952.9</v>
      </c>
      <c r="L10" s="138">
        <f>+L11+L17+L46+L167+L187+L191+L192+L195</f>
        <v>975.82</v>
      </c>
      <c r="M10" s="135">
        <f>+I10+J10+K10+L10</f>
        <v>3917.48</v>
      </c>
      <c r="N10" s="136">
        <f>+N11+N17+N46+N167+N187+N191+N192+N195</f>
        <v>223.75</v>
      </c>
      <c r="O10" s="137">
        <f>+O11+O17+O46+O167+O187+O191+O192+O195</f>
        <v>355.89</v>
      </c>
      <c r="P10" s="137">
        <f>+P11+P17+P46+P167+P187+P191+P192+P195</f>
        <v>4993.3200000000006</v>
      </c>
      <c r="Q10" s="138">
        <f>+Q11+Q17+Q46+Q167+Q187+Q191+Q192+Q195</f>
        <v>1231.24</v>
      </c>
      <c r="R10" s="139">
        <f>+N10+O10+P10+Q10</f>
        <v>6804.2000000000007</v>
      </c>
      <c r="S10" s="135">
        <f>+H10+M10+R10</f>
        <v>17234.400000000001</v>
      </c>
    </row>
    <row r="11" spans="1:19" x14ac:dyDescent="0.25">
      <c r="A11" s="16" t="s">
        <v>16</v>
      </c>
      <c r="B11" s="17" t="s">
        <v>17</v>
      </c>
      <c r="C11" s="18">
        <f>225000/1000</f>
        <v>225</v>
      </c>
      <c r="D11" s="19">
        <f>60000/1000</f>
        <v>60</v>
      </c>
      <c r="E11" s="20">
        <f>60000/1000</f>
        <v>60</v>
      </c>
      <c r="F11" s="20">
        <f>60000/1000</f>
        <v>60</v>
      </c>
      <c r="G11" s="21">
        <f>60000/1000</f>
        <v>60</v>
      </c>
      <c r="H11" s="22">
        <f>+D11+E11+F11+G11</f>
        <v>240</v>
      </c>
      <c r="I11" s="19">
        <v>62.5</v>
      </c>
      <c r="J11" s="20">
        <v>62.5</v>
      </c>
      <c r="K11" s="20">
        <v>62.5</v>
      </c>
      <c r="L11" s="21">
        <v>62.5</v>
      </c>
      <c r="M11" s="22">
        <f>+I11+J11+K11+L11</f>
        <v>250</v>
      </c>
      <c r="N11" s="19">
        <v>64.25</v>
      </c>
      <c r="O11" s="20">
        <v>64.25</v>
      </c>
      <c r="P11" s="20">
        <v>64.25</v>
      </c>
      <c r="Q11" s="21">
        <v>64.25</v>
      </c>
      <c r="R11" s="22">
        <f>+N11+O11+P11+Q11</f>
        <v>257</v>
      </c>
      <c r="S11" s="22">
        <f>+H11+M11+R11</f>
        <v>747</v>
      </c>
    </row>
    <row r="12" spans="1:19" ht="24" customHeight="1" x14ac:dyDescent="0.25">
      <c r="A12" s="16" t="s">
        <v>18</v>
      </c>
      <c r="B12" s="23" t="s">
        <v>569</v>
      </c>
      <c r="C12" s="18">
        <v>0</v>
      </c>
      <c r="D12" s="24">
        <v>0</v>
      </c>
      <c r="E12" s="25">
        <v>0</v>
      </c>
      <c r="F12" s="25">
        <v>0</v>
      </c>
      <c r="G12" s="26">
        <v>0</v>
      </c>
      <c r="H12" s="22">
        <f>+D12+E12+F12+G12</f>
        <v>0</v>
      </c>
      <c r="I12" s="24">
        <v>1.71</v>
      </c>
      <c r="J12" s="25">
        <v>1.71</v>
      </c>
      <c r="K12" s="25">
        <v>1.71</v>
      </c>
      <c r="L12" s="26">
        <v>1.71</v>
      </c>
      <c r="M12" s="22">
        <f>+I12+J12+K12+L12</f>
        <v>6.84</v>
      </c>
      <c r="N12" s="24">
        <v>2</v>
      </c>
      <c r="O12" s="25">
        <v>2</v>
      </c>
      <c r="P12" s="25">
        <v>2</v>
      </c>
      <c r="Q12" s="26">
        <v>2</v>
      </c>
      <c r="R12" s="22">
        <f>+N12+O12+P12+Q12</f>
        <v>8</v>
      </c>
      <c r="S12" s="22">
        <f>+H12+M12+R12</f>
        <v>14.84</v>
      </c>
    </row>
    <row r="13" spans="1:19" ht="15" customHeight="1" x14ac:dyDescent="0.25">
      <c r="A13" s="16" t="s">
        <v>19</v>
      </c>
      <c r="B13" s="27" t="s">
        <v>20</v>
      </c>
      <c r="C13" s="18"/>
      <c r="D13" s="19"/>
      <c r="E13" s="20"/>
      <c r="F13" s="20"/>
      <c r="G13" s="21"/>
      <c r="H13" s="22"/>
      <c r="I13" s="19"/>
      <c r="J13" s="20"/>
      <c r="K13" s="20"/>
      <c r="L13" s="21"/>
      <c r="M13" s="22"/>
      <c r="N13" s="19"/>
      <c r="O13" s="20"/>
      <c r="P13" s="20"/>
      <c r="Q13" s="21"/>
      <c r="R13" s="22"/>
      <c r="S13" s="28"/>
    </row>
    <row r="14" spans="1:19" ht="42.75" customHeight="1" x14ac:dyDescent="0.25">
      <c r="A14" s="16"/>
      <c r="B14" s="29" t="s">
        <v>21</v>
      </c>
      <c r="C14" s="18"/>
      <c r="D14" s="19"/>
      <c r="E14" s="20"/>
      <c r="F14" s="20"/>
      <c r="G14" s="21"/>
      <c r="H14" s="22"/>
      <c r="I14" s="19"/>
      <c r="J14" s="20"/>
      <c r="K14" s="20"/>
      <c r="L14" s="21"/>
      <c r="M14" s="22"/>
      <c r="N14" s="19"/>
      <c r="O14" s="20"/>
      <c r="P14" s="20"/>
      <c r="Q14" s="21"/>
      <c r="R14" s="22"/>
      <c r="S14" s="28"/>
    </row>
    <row r="15" spans="1:19" ht="27" customHeight="1" x14ac:dyDescent="0.25">
      <c r="A15" s="16" t="s">
        <v>22</v>
      </c>
      <c r="B15" s="30" t="s">
        <v>570</v>
      </c>
      <c r="C15" s="18">
        <v>0</v>
      </c>
      <c r="D15" s="19">
        <v>0</v>
      </c>
      <c r="E15" s="20">
        <v>0</v>
      </c>
      <c r="F15" s="20">
        <v>0</v>
      </c>
      <c r="G15" s="21">
        <v>0</v>
      </c>
      <c r="H15" s="22">
        <v>0</v>
      </c>
      <c r="I15" s="19">
        <v>0</v>
      </c>
      <c r="J15" s="20">
        <v>0</v>
      </c>
      <c r="K15" s="20">
        <v>26.18</v>
      </c>
      <c r="L15" s="21">
        <v>26.54</v>
      </c>
      <c r="M15" s="22">
        <f>SUM(I15:L15)</f>
        <v>52.72</v>
      </c>
      <c r="N15" s="19">
        <v>0</v>
      </c>
      <c r="O15" s="20">
        <v>0</v>
      </c>
      <c r="P15" s="20">
        <v>0</v>
      </c>
      <c r="Q15" s="21">
        <v>0</v>
      </c>
      <c r="R15" s="22">
        <f>SUM(N15:Q15)</f>
        <v>0</v>
      </c>
      <c r="S15" s="22">
        <f>+H15+M15+R15</f>
        <v>52.72</v>
      </c>
    </row>
    <row r="16" spans="1:19" ht="26.25" customHeight="1" x14ac:dyDescent="0.25">
      <c r="A16" s="16" t="s">
        <v>23</v>
      </c>
      <c r="B16" s="30" t="s">
        <v>552</v>
      </c>
      <c r="C16" s="18">
        <v>0</v>
      </c>
      <c r="D16" s="19">
        <v>0</v>
      </c>
      <c r="E16" s="20">
        <v>0</v>
      </c>
      <c r="F16" s="20">
        <v>0</v>
      </c>
      <c r="G16" s="21">
        <v>0</v>
      </c>
      <c r="H16" s="22">
        <v>0</v>
      </c>
      <c r="I16" s="19">
        <v>0</v>
      </c>
      <c r="J16" s="20">
        <v>0</v>
      </c>
      <c r="K16" s="20">
        <v>50.08</v>
      </c>
      <c r="L16" s="21">
        <v>49.83</v>
      </c>
      <c r="M16" s="22">
        <f>SUM(I16:L16)</f>
        <v>99.91</v>
      </c>
      <c r="N16" s="19">
        <v>0</v>
      </c>
      <c r="O16" s="20">
        <v>0</v>
      </c>
      <c r="P16" s="20">
        <v>0</v>
      </c>
      <c r="Q16" s="21">
        <v>0</v>
      </c>
      <c r="R16" s="22">
        <f>SUM(N16:Q16)</f>
        <v>0</v>
      </c>
      <c r="S16" s="22">
        <f>+H16+M16+R16</f>
        <v>99.91</v>
      </c>
    </row>
    <row r="17" spans="1:19" ht="27" customHeight="1" x14ac:dyDescent="0.25">
      <c r="A17" s="16"/>
      <c r="B17" s="31" t="s">
        <v>571</v>
      </c>
      <c r="C17" s="22">
        <f>SUM(C15:C16)</f>
        <v>0</v>
      </c>
      <c r="D17" s="32">
        <f t="shared" ref="D17:S17" si="0">SUM(D15:D16)</f>
        <v>0</v>
      </c>
      <c r="E17" s="33">
        <f t="shared" si="0"/>
        <v>0</v>
      </c>
      <c r="F17" s="33">
        <f t="shared" si="0"/>
        <v>0</v>
      </c>
      <c r="G17" s="34">
        <f t="shared" si="0"/>
        <v>0</v>
      </c>
      <c r="H17" s="22">
        <f t="shared" si="0"/>
        <v>0</v>
      </c>
      <c r="I17" s="32">
        <f t="shared" si="0"/>
        <v>0</v>
      </c>
      <c r="J17" s="33">
        <f t="shared" si="0"/>
        <v>0</v>
      </c>
      <c r="K17" s="33">
        <f t="shared" si="0"/>
        <v>76.259999999999991</v>
      </c>
      <c r="L17" s="34">
        <f t="shared" si="0"/>
        <v>76.37</v>
      </c>
      <c r="M17" s="22">
        <f t="shared" si="0"/>
        <v>152.63</v>
      </c>
      <c r="N17" s="32">
        <f t="shared" si="0"/>
        <v>0</v>
      </c>
      <c r="O17" s="33">
        <f t="shared" si="0"/>
        <v>0</v>
      </c>
      <c r="P17" s="33">
        <f t="shared" si="0"/>
        <v>0</v>
      </c>
      <c r="Q17" s="34">
        <f t="shared" si="0"/>
        <v>0</v>
      </c>
      <c r="R17" s="22">
        <f t="shared" si="0"/>
        <v>0</v>
      </c>
      <c r="S17" s="22">
        <f t="shared" si="0"/>
        <v>152.63</v>
      </c>
    </row>
    <row r="18" spans="1:19" ht="15" customHeight="1" x14ac:dyDescent="0.25">
      <c r="A18" s="16" t="s">
        <v>24</v>
      </c>
      <c r="B18" s="27" t="s">
        <v>25</v>
      </c>
      <c r="C18" s="18"/>
      <c r="D18" s="19"/>
      <c r="E18" s="20"/>
      <c r="F18" s="20"/>
      <c r="G18" s="21"/>
      <c r="H18" s="22"/>
      <c r="I18" s="19"/>
      <c r="J18" s="20"/>
      <c r="K18" s="20"/>
      <c r="L18" s="21"/>
      <c r="M18" s="22"/>
      <c r="N18" s="19"/>
      <c r="O18" s="20"/>
      <c r="P18" s="20"/>
      <c r="Q18" s="21"/>
      <c r="R18" s="22"/>
      <c r="S18" s="28"/>
    </row>
    <row r="19" spans="1:19" ht="41.25" customHeight="1" x14ac:dyDescent="0.25">
      <c r="A19" s="16"/>
      <c r="B19" s="35" t="s">
        <v>490</v>
      </c>
      <c r="C19" s="18"/>
      <c r="D19" s="19"/>
      <c r="E19" s="20"/>
      <c r="F19" s="20"/>
      <c r="G19" s="21"/>
      <c r="H19" s="22"/>
      <c r="I19" s="19"/>
      <c r="J19" s="20"/>
      <c r="K19" s="20"/>
      <c r="L19" s="21"/>
      <c r="M19" s="22"/>
      <c r="N19" s="19"/>
      <c r="O19" s="20"/>
      <c r="P19" s="20"/>
      <c r="Q19" s="21"/>
      <c r="R19" s="22"/>
      <c r="S19" s="28"/>
    </row>
    <row r="20" spans="1:19" ht="15" customHeight="1" x14ac:dyDescent="0.25">
      <c r="A20" s="16" t="s">
        <v>26</v>
      </c>
      <c r="B20" s="36" t="s">
        <v>27</v>
      </c>
      <c r="C20" s="37">
        <f>85628.88/1000</f>
        <v>85.628880000000009</v>
      </c>
      <c r="D20" s="38">
        <v>0</v>
      </c>
      <c r="E20" s="39">
        <v>0</v>
      </c>
      <c r="F20" s="39">
        <v>94.07</v>
      </c>
      <c r="G20" s="40">
        <v>61.47</v>
      </c>
      <c r="H20" s="22">
        <f t="shared" ref="H20:H28" si="1">SUM(D20:G20)</f>
        <v>155.54</v>
      </c>
      <c r="I20" s="38">
        <v>10.53</v>
      </c>
      <c r="J20" s="39">
        <v>22.74</v>
      </c>
      <c r="K20" s="39">
        <v>14.44</v>
      </c>
      <c r="L20" s="40">
        <v>0</v>
      </c>
      <c r="M20" s="22">
        <f>SUM(I20:L20)</f>
        <v>47.709999999999994</v>
      </c>
      <c r="N20" s="38">
        <v>0</v>
      </c>
      <c r="O20" s="39">
        <v>0</v>
      </c>
      <c r="P20" s="39">
        <v>0</v>
      </c>
      <c r="Q20" s="21">
        <v>0</v>
      </c>
      <c r="R20" s="22">
        <f>SUM(N20:Q20)</f>
        <v>0</v>
      </c>
      <c r="S20" s="22">
        <f>+H20+M20+R20</f>
        <v>203.25</v>
      </c>
    </row>
    <row r="21" spans="1:19" ht="15" customHeight="1" x14ac:dyDescent="0.25">
      <c r="A21" s="16" t="s">
        <v>28</v>
      </c>
      <c r="B21" s="36" t="s">
        <v>29</v>
      </c>
      <c r="C21" s="37">
        <f>45463.97/1000</f>
        <v>45.463970000000003</v>
      </c>
      <c r="D21" s="38">
        <v>0</v>
      </c>
      <c r="E21" s="39">
        <v>0</v>
      </c>
      <c r="F21" s="39">
        <v>83.78</v>
      </c>
      <c r="G21" s="40">
        <v>103.63</v>
      </c>
      <c r="H21" s="22">
        <f t="shared" si="1"/>
        <v>187.41</v>
      </c>
      <c r="I21" s="38">
        <f>54.08</f>
        <v>54.08</v>
      </c>
      <c r="J21" s="39">
        <v>185.75</v>
      </c>
      <c r="K21" s="39">
        <f>12.11</f>
        <v>12.11</v>
      </c>
      <c r="L21" s="40">
        <v>0</v>
      </c>
      <c r="M21" s="22">
        <f t="shared" ref="M21" si="2">SUM(I21:L21)</f>
        <v>251.94</v>
      </c>
      <c r="N21" s="38">
        <v>0</v>
      </c>
      <c r="O21" s="39">
        <v>0</v>
      </c>
      <c r="P21" s="39">
        <v>0</v>
      </c>
      <c r="Q21" s="21">
        <v>0</v>
      </c>
      <c r="R21" s="22">
        <v>0</v>
      </c>
      <c r="S21" s="22">
        <f t="shared" ref="S21:S29" si="3">+H21+M21+R21</f>
        <v>439.35</v>
      </c>
    </row>
    <row r="22" spans="1:19" ht="15" customHeight="1" x14ac:dyDescent="0.25">
      <c r="A22" s="16" t="s">
        <v>30</v>
      </c>
      <c r="B22" s="36" t="s">
        <v>31</v>
      </c>
      <c r="C22" s="37">
        <f>19691.07/1000</f>
        <v>19.69107</v>
      </c>
      <c r="D22" s="38">
        <v>0</v>
      </c>
      <c r="E22" s="39">
        <v>20.329999999999998</v>
      </c>
      <c r="F22" s="39">
        <v>29.94</v>
      </c>
      <c r="G22" s="40">
        <v>61.91</v>
      </c>
      <c r="H22" s="22">
        <f t="shared" si="1"/>
        <v>112.17999999999999</v>
      </c>
      <c r="I22" s="38">
        <v>20.12</v>
      </c>
      <c r="J22" s="39">
        <v>39.020000000000003</v>
      </c>
      <c r="K22" s="39">
        <v>0</v>
      </c>
      <c r="L22" s="40">
        <v>5.9</v>
      </c>
      <c r="M22" s="22">
        <f t="shared" ref="M22:M28" si="4">SUM(I22:L22)</f>
        <v>65.040000000000006</v>
      </c>
      <c r="N22" s="38">
        <v>0</v>
      </c>
      <c r="O22" s="39">
        <v>0</v>
      </c>
      <c r="P22" s="39">
        <v>0</v>
      </c>
      <c r="Q22" s="21">
        <v>0</v>
      </c>
      <c r="R22" s="22">
        <f>SUM(N22:Q22)</f>
        <v>0</v>
      </c>
      <c r="S22" s="22">
        <f t="shared" si="3"/>
        <v>177.22</v>
      </c>
    </row>
    <row r="23" spans="1:19" ht="15" customHeight="1" x14ac:dyDescent="0.25">
      <c r="A23" s="16" t="s">
        <v>32</v>
      </c>
      <c r="B23" s="41" t="s">
        <v>33</v>
      </c>
      <c r="C23" s="37">
        <f>15770.97/1000</f>
        <v>15.77097</v>
      </c>
      <c r="D23" s="38">
        <v>0</v>
      </c>
      <c r="E23" s="39">
        <v>23.95</v>
      </c>
      <c r="F23" s="39">
        <v>55.64</v>
      </c>
      <c r="G23" s="40">
        <v>60.19</v>
      </c>
      <c r="H23" s="22">
        <f t="shared" si="1"/>
        <v>139.78</v>
      </c>
      <c r="I23" s="38">
        <v>0</v>
      </c>
      <c r="J23" s="39">
        <v>1.19</v>
      </c>
      <c r="K23" s="39">
        <v>0.97</v>
      </c>
      <c r="L23" s="40">
        <v>0</v>
      </c>
      <c r="M23" s="22">
        <f t="shared" si="4"/>
        <v>2.16</v>
      </c>
      <c r="N23" s="38">
        <v>0</v>
      </c>
      <c r="O23" s="39">
        <v>0</v>
      </c>
      <c r="P23" s="39">
        <v>0</v>
      </c>
      <c r="Q23" s="21">
        <v>0</v>
      </c>
      <c r="R23" s="22">
        <f>SUM(N23:Q23)</f>
        <v>0</v>
      </c>
      <c r="S23" s="22">
        <f t="shared" si="3"/>
        <v>141.94</v>
      </c>
    </row>
    <row r="24" spans="1:19" ht="15" customHeight="1" x14ac:dyDescent="0.25">
      <c r="A24" s="16" t="s">
        <v>34</v>
      </c>
      <c r="B24" s="36" t="s">
        <v>35</v>
      </c>
      <c r="C24" s="37">
        <v>0</v>
      </c>
      <c r="D24" s="38">
        <v>0</v>
      </c>
      <c r="E24" s="39">
        <v>3.99</v>
      </c>
      <c r="F24" s="39">
        <v>68.989999999999995</v>
      </c>
      <c r="G24" s="40">
        <v>0</v>
      </c>
      <c r="H24" s="22">
        <f t="shared" si="1"/>
        <v>72.97999999999999</v>
      </c>
      <c r="I24" s="38">
        <v>12.63</v>
      </c>
      <c r="J24" s="39">
        <v>7.2</v>
      </c>
      <c r="K24" s="39">
        <v>6.99</v>
      </c>
      <c r="L24" s="40">
        <v>12.63</v>
      </c>
      <c r="M24" s="22">
        <f t="shared" si="4"/>
        <v>39.450000000000003</v>
      </c>
      <c r="N24" s="38">
        <v>0</v>
      </c>
      <c r="O24" s="39">
        <v>0</v>
      </c>
      <c r="P24" s="39">
        <v>0</v>
      </c>
      <c r="Q24" s="21">
        <v>0</v>
      </c>
      <c r="R24" s="22">
        <f>SUM(N24:Q24)</f>
        <v>0</v>
      </c>
      <c r="S24" s="22">
        <f t="shared" si="3"/>
        <v>112.42999999999999</v>
      </c>
    </row>
    <row r="25" spans="1:19" ht="15" customHeight="1" x14ac:dyDescent="0.25">
      <c r="A25" s="16" t="s">
        <v>36</v>
      </c>
      <c r="B25" s="36" t="s">
        <v>37</v>
      </c>
      <c r="C25" s="18">
        <f>13889.8/1000</f>
        <v>13.889799999999999</v>
      </c>
      <c r="D25" s="19">
        <v>0</v>
      </c>
      <c r="E25" s="20">
        <v>0</v>
      </c>
      <c r="F25" s="20">
        <v>0.41</v>
      </c>
      <c r="G25" s="21">
        <v>0</v>
      </c>
      <c r="H25" s="22">
        <f t="shared" si="1"/>
        <v>0.41</v>
      </c>
      <c r="I25" s="19">
        <v>0</v>
      </c>
      <c r="J25" s="20">
        <v>1.58</v>
      </c>
      <c r="K25" s="20">
        <v>0</v>
      </c>
      <c r="L25" s="21">
        <v>0</v>
      </c>
      <c r="M25" s="22">
        <f t="shared" si="4"/>
        <v>1.58</v>
      </c>
      <c r="N25" s="19">
        <v>0</v>
      </c>
      <c r="O25" s="20">
        <v>0</v>
      </c>
      <c r="P25" s="20">
        <v>0</v>
      </c>
      <c r="Q25" s="21">
        <v>0</v>
      </c>
      <c r="R25" s="22">
        <v>0</v>
      </c>
      <c r="S25" s="22">
        <f t="shared" si="3"/>
        <v>1.99</v>
      </c>
    </row>
    <row r="26" spans="1:19" ht="15" customHeight="1" x14ac:dyDescent="0.25">
      <c r="A26" s="16" t="s">
        <v>38</v>
      </c>
      <c r="B26" s="36" t="s">
        <v>39</v>
      </c>
      <c r="C26" s="18">
        <f>102877.04/1000</f>
        <v>102.87703999999999</v>
      </c>
      <c r="D26" s="19">
        <v>0</v>
      </c>
      <c r="E26" s="20">
        <v>43.55</v>
      </c>
      <c r="F26" s="20">
        <v>24.82</v>
      </c>
      <c r="G26" s="21">
        <v>0</v>
      </c>
      <c r="H26" s="22">
        <f t="shared" si="1"/>
        <v>68.37</v>
      </c>
      <c r="I26" s="19">
        <v>0</v>
      </c>
      <c r="J26" s="20">
        <v>7.56</v>
      </c>
      <c r="K26" s="20">
        <v>11.5</v>
      </c>
      <c r="L26" s="21">
        <v>0</v>
      </c>
      <c r="M26" s="22">
        <f t="shared" si="4"/>
        <v>19.059999999999999</v>
      </c>
      <c r="N26" s="19">
        <v>0</v>
      </c>
      <c r="O26" s="20">
        <v>0</v>
      </c>
      <c r="P26" s="20">
        <v>0</v>
      </c>
      <c r="Q26" s="21">
        <v>0</v>
      </c>
      <c r="R26" s="22">
        <v>0</v>
      </c>
      <c r="S26" s="22">
        <f t="shared" si="3"/>
        <v>87.43</v>
      </c>
    </row>
    <row r="27" spans="1:19" ht="15" customHeight="1" x14ac:dyDescent="0.25">
      <c r="A27" s="16" t="s">
        <v>40</v>
      </c>
      <c r="B27" s="36" t="s">
        <v>41</v>
      </c>
      <c r="C27" s="18">
        <f>15084.32/1000</f>
        <v>15.08432</v>
      </c>
      <c r="D27" s="19">
        <v>0</v>
      </c>
      <c r="E27" s="20">
        <v>0</v>
      </c>
      <c r="F27" s="20">
        <v>0</v>
      </c>
      <c r="G27" s="21">
        <v>0</v>
      </c>
      <c r="H27" s="22">
        <f t="shared" si="1"/>
        <v>0</v>
      </c>
      <c r="I27" s="19">
        <v>0</v>
      </c>
      <c r="J27" s="20">
        <v>0</v>
      </c>
      <c r="K27" s="20">
        <v>0</v>
      </c>
      <c r="L27" s="21">
        <v>0</v>
      </c>
      <c r="M27" s="22">
        <f t="shared" si="4"/>
        <v>0</v>
      </c>
      <c r="N27" s="19">
        <v>0</v>
      </c>
      <c r="O27" s="20">
        <v>0</v>
      </c>
      <c r="P27" s="20">
        <v>0</v>
      </c>
      <c r="Q27" s="21">
        <v>0</v>
      </c>
      <c r="R27" s="22">
        <v>0</v>
      </c>
      <c r="S27" s="22">
        <f t="shared" si="3"/>
        <v>0</v>
      </c>
    </row>
    <row r="28" spans="1:19" ht="26.25" customHeight="1" x14ac:dyDescent="0.25">
      <c r="A28" s="16" t="s">
        <v>42</v>
      </c>
      <c r="B28" s="41" t="s">
        <v>43</v>
      </c>
      <c r="C28" s="37">
        <f>5766.39/1000</f>
        <v>5.7663900000000003</v>
      </c>
      <c r="D28" s="38">
        <v>0.36</v>
      </c>
      <c r="E28" s="39">
        <v>0.36</v>
      </c>
      <c r="F28" s="39">
        <v>6.87</v>
      </c>
      <c r="G28" s="40">
        <v>0.38</v>
      </c>
      <c r="H28" s="22">
        <f t="shared" si="1"/>
        <v>7.97</v>
      </c>
      <c r="I28" s="38">
        <v>10.71</v>
      </c>
      <c r="J28" s="39">
        <v>1.93</v>
      </c>
      <c r="K28" s="39">
        <v>5.14</v>
      </c>
      <c r="L28" s="40">
        <v>2.13</v>
      </c>
      <c r="M28" s="22">
        <f t="shared" si="4"/>
        <v>19.91</v>
      </c>
      <c r="N28" s="38">
        <v>0</v>
      </c>
      <c r="O28" s="39">
        <v>0</v>
      </c>
      <c r="P28" s="39">
        <v>0</v>
      </c>
      <c r="Q28" s="21">
        <v>0</v>
      </c>
      <c r="R28" s="22">
        <f>SUM(N28:Q28)</f>
        <v>0</v>
      </c>
      <c r="S28" s="22">
        <f t="shared" si="3"/>
        <v>27.88</v>
      </c>
    </row>
    <row r="29" spans="1:19" ht="37.5" customHeight="1" x14ac:dyDescent="0.25">
      <c r="A29" s="16"/>
      <c r="B29" s="31" t="s">
        <v>488</v>
      </c>
      <c r="C29" s="22">
        <f t="shared" ref="C29:R29" si="5">SUM(C20:C28)</f>
        <v>304.17243999999999</v>
      </c>
      <c r="D29" s="32">
        <f t="shared" si="5"/>
        <v>0.36</v>
      </c>
      <c r="E29" s="33">
        <f t="shared" si="5"/>
        <v>92.179999999999993</v>
      </c>
      <c r="F29" s="33">
        <f t="shared" si="5"/>
        <v>364.52000000000004</v>
      </c>
      <c r="G29" s="34">
        <f t="shared" si="5"/>
        <v>287.58</v>
      </c>
      <c r="H29" s="22">
        <f>SUM(H20:H28)</f>
        <v>744.64</v>
      </c>
      <c r="I29" s="32">
        <f t="shared" si="5"/>
        <v>108.07</v>
      </c>
      <c r="J29" s="33">
        <f t="shared" si="5"/>
        <v>266.97000000000003</v>
      </c>
      <c r="K29" s="33">
        <f t="shared" si="5"/>
        <v>51.15</v>
      </c>
      <c r="L29" s="34">
        <f t="shared" si="5"/>
        <v>20.66</v>
      </c>
      <c r="M29" s="22">
        <f t="shared" si="5"/>
        <v>446.85</v>
      </c>
      <c r="N29" s="32">
        <f t="shared" si="5"/>
        <v>0</v>
      </c>
      <c r="O29" s="33">
        <f t="shared" si="5"/>
        <v>0</v>
      </c>
      <c r="P29" s="33">
        <f t="shared" si="5"/>
        <v>0</v>
      </c>
      <c r="Q29" s="34">
        <f t="shared" si="5"/>
        <v>0</v>
      </c>
      <c r="R29" s="22">
        <f t="shared" si="5"/>
        <v>0</v>
      </c>
      <c r="S29" s="22">
        <f t="shared" si="3"/>
        <v>1191.49</v>
      </c>
    </row>
    <row r="30" spans="1:19" ht="39" customHeight="1" x14ac:dyDescent="0.25">
      <c r="A30" s="16"/>
      <c r="B30" s="35" t="s">
        <v>574</v>
      </c>
      <c r="C30" s="37"/>
      <c r="D30" s="38"/>
      <c r="E30" s="39"/>
      <c r="F30" s="39"/>
      <c r="G30" s="40"/>
      <c r="H30" s="22"/>
      <c r="I30" s="38"/>
      <c r="J30" s="39"/>
      <c r="K30" s="39"/>
      <c r="L30" s="40"/>
      <c r="M30" s="22"/>
      <c r="N30" s="38"/>
      <c r="O30" s="39"/>
      <c r="P30" s="39"/>
      <c r="Q30" s="21"/>
      <c r="R30" s="22"/>
      <c r="S30" s="28"/>
    </row>
    <row r="31" spans="1:19" ht="15" customHeight="1" x14ac:dyDescent="0.25">
      <c r="A31" s="16" t="s">
        <v>44</v>
      </c>
      <c r="B31" s="42" t="s">
        <v>45</v>
      </c>
      <c r="C31" s="37">
        <v>0</v>
      </c>
      <c r="D31" s="38">
        <v>0</v>
      </c>
      <c r="E31" s="39">
        <v>0</v>
      </c>
      <c r="F31" s="39">
        <v>0</v>
      </c>
      <c r="G31" s="40">
        <v>0</v>
      </c>
      <c r="H31" s="22">
        <v>0</v>
      </c>
      <c r="I31" s="38">
        <v>6.31</v>
      </c>
      <c r="J31" s="39">
        <v>7.78</v>
      </c>
      <c r="K31" s="39">
        <v>0.78</v>
      </c>
      <c r="L31" s="40">
        <v>1.57</v>
      </c>
      <c r="M31" s="22">
        <f>SUM(I31:L31)</f>
        <v>16.439999999999998</v>
      </c>
      <c r="N31" s="38">
        <v>0</v>
      </c>
      <c r="O31" s="39">
        <v>0</v>
      </c>
      <c r="P31" s="39">
        <v>0</v>
      </c>
      <c r="Q31" s="21">
        <v>0</v>
      </c>
      <c r="R31" s="22">
        <f>SUM(N31:Q31)</f>
        <v>0</v>
      </c>
      <c r="S31" s="22">
        <f t="shared" ref="S31:S37" si="6">+H31+M31+R31</f>
        <v>16.439999999999998</v>
      </c>
    </row>
    <row r="32" spans="1:19" ht="15" customHeight="1" x14ac:dyDescent="0.25">
      <c r="A32" s="16" t="s">
        <v>46</v>
      </c>
      <c r="B32" s="42" t="s">
        <v>47</v>
      </c>
      <c r="C32" s="37">
        <v>0</v>
      </c>
      <c r="D32" s="38">
        <v>0</v>
      </c>
      <c r="E32" s="39">
        <v>0</v>
      </c>
      <c r="F32" s="39">
        <v>0</v>
      </c>
      <c r="G32" s="40">
        <v>7.55</v>
      </c>
      <c r="H32" s="22">
        <f>SUM(D32:G32)</f>
        <v>7.55</v>
      </c>
      <c r="I32" s="38">
        <v>0.6</v>
      </c>
      <c r="J32" s="39">
        <v>0.43</v>
      </c>
      <c r="K32" s="39">
        <v>0</v>
      </c>
      <c r="L32" s="40">
        <v>0</v>
      </c>
      <c r="M32" s="22">
        <f>SUM(I32:L32)</f>
        <v>1.03</v>
      </c>
      <c r="N32" s="38">
        <v>0</v>
      </c>
      <c r="O32" s="39">
        <v>0</v>
      </c>
      <c r="P32" s="39">
        <v>0</v>
      </c>
      <c r="Q32" s="21">
        <v>0</v>
      </c>
      <c r="R32" s="22">
        <f>SUM(N32:Q32)</f>
        <v>0</v>
      </c>
      <c r="S32" s="22">
        <f t="shared" si="6"/>
        <v>8.58</v>
      </c>
    </row>
    <row r="33" spans="1:19" ht="15" customHeight="1" x14ac:dyDescent="0.25">
      <c r="A33" s="16" t="s">
        <v>48</v>
      </c>
      <c r="B33" s="42" t="s">
        <v>49</v>
      </c>
      <c r="C33" s="37">
        <v>0</v>
      </c>
      <c r="D33" s="38">
        <v>0</v>
      </c>
      <c r="E33" s="39">
        <v>0</v>
      </c>
      <c r="F33" s="39">
        <v>0</v>
      </c>
      <c r="G33" s="40">
        <v>0</v>
      </c>
      <c r="H33" s="22">
        <v>0</v>
      </c>
      <c r="I33" s="38">
        <v>0</v>
      </c>
      <c r="J33" s="39">
        <v>0</v>
      </c>
      <c r="K33" s="39">
        <v>0</v>
      </c>
      <c r="L33" s="40">
        <v>0</v>
      </c>
      <c r="M33" s="22">
        <f>SUM(I33:L33)</f>
        <v>0</v>
      </c>
      <c r="N33" s="38">
        <v>0</v>
      </c>
      <c r="O33" s="39">
        <v>0</v>
      </c>
      <c r="P33" s="39">
        <v>0</v>
      </c>
      <c r="Q33" s="21">
        <v>194</v>
      </c>
      <c r="R33" s="22">
        <f>SUM(N33:Q33)</f>
        <v>194</v>
      </c>
      <c r="S33" s="22">
        <f t="shared" si="6"/>
        <v>194</v>
      </c>
    </row>
    <row r="34" spans="1:19" ht="15" customHeight="1" x14ac:dyDescent="0.25">
      <c r="A34" s="16" t="s">
        <v>50</v>
      </c>
      <c r="B34" s="42" t="s">
        <v>51</v>
      </c>
      <c r="C34" s="37">
        <v>0</v>
      </c>
      <c r="D34" s="38">
        <v>0</v>
      </c>
      <c r="E34" s="39">
        <v>0</v>
      </c>
      <c r="F34" s="39">
        <v>0</v>
      </c>
      <c r="G34" s="40">
        <v>0</v>
      </c>
      <c r="H34" s="22">
        <v>0</v>
      </c>
      <c r="I34" s="38">
        <v>0</v>
      </c>
      <c r="J34" s="39">
        <v>6.82</v>
      </c>
      <c r="K34" s="39">
        <v>0</v>
      </c>
      <c r="L34" s="40">
        <v>0</v>
      </c>
      <c r="M34" s="22">
        <f>SUM(I34:L34)</f>
        <v>6.82</v>
      </c>
      <c r="N34" s="38">
        <v>0</v>
      </c>
      <c r="O34" s="39">
        <v>0</v>
      </c>
      <c r="P34" s="39">
        <v>0</v>
      </c>
      <c r="Q34" s="21">
        <v>0</v>
      </c>
      <c r="R34" s="22">
        <f>SUM(N34:Q34)</f>
        <v>0</v>
      </c>
      <c r="S34" s="22">
        <f t="shared" si="6"/>
        <v>6.82</v>
      </c>
    </row>
    <row r="35" spans="1:19" ht="50.25" customHeight="1" x14ac:dyDescent="0.25">
      <c r="A35" s="16" t="s">
        <v>52</v>
      </c>
      <c r="B35" s="42" t="s">
        <v>491</v>
      </c>
      <c r="C35" s="37">
        <v>0</v>
      </c>
      <c r="D35" s="38">
        <v>0</v>
      </c>
      <c r="E35" s="39">
        <v>0</v>
      </c>
      <c r="F35" s="39">
        <v>0</v>
      </c>
      <c r="G35" s="40">
        <v>0</v>
      </c>
      <c r="H35" s="43">
        <v>0</v>
      </c>
      <c r="I35" s="38">
        <v>27.49</v>
      </c>
      <c r="J35" s="39">
        <v>172.76</v>
      </c>
      <c r="K35" s="39">
        <v>47.16</v>
      </c>
      <c r="L35" s="40">
        <v>27.49</v>
      </c>
      <c r="M35" s="22">
        <f>SUM(I35:L35)</f>
        <v>274.89999999999998</v>
      </c>
      <c r="N35" s="38">
        <v>0</v>
      </c>
      <c r="O35" s="39">
        <v>0</v>
      </c>
      <c r="P35" s="39">
        <v>0</v>
      </c>
      <c r="Q35" s="40">
        <v>0</v>
      </c>
      <c r="R35" s="22">
        <f>SUM(N35:Q35)</f>
        <v>0</v>
      </c>
      <c r="S35" s="22">
        <f t="shared" si="6"/>
        <v>274.89999999999998</v>
      </c>
    </row>
    <row r="36" spans="1:19" ht="15" customHeight="1" x14ac:dyDescent="0.25">
      <c r="A36" s="16"/>
      <c r="B36" s="44" t="s">
        <v>53</v>
      </c>
      <c r="C36" s="43">
        <f t="shared" ref="C36:R36" si="7">SUM(C31:C35)</f>
        <v>0</v>
      </c>
      <c r="D36" s="45">
        <f t="shared" si="7"/>
        <v>0</v>
      </c>
      <c r="E36" s="46">
        <f t="shared" si="7"/>
        <v>0</v>
      </c>
      <c r="F36" s="46">
        <f t="shared" si="7"/>
        <v>0</v>
      </c>
      <c r="G36" s="47">
        <f t="shared" si="7"/>
        <v>7.55</v>
      </c>
      <c r="H36" s="43">
        <f t="shared" si="7"/>
        <v>7.55</v>
      </c>
      <c r="I36" s="45">
        <f t="shared" si="7"/>
        <v>34.4</v>
      </c>
      <c r="J36" s="46">
        <f t="shared" si="7"/>
        <v>187.79</v>
      </c>
      <c r="K36" s="46">
        <f t="shared" si="7"/>
        <v>47.94</v>
      </c>
      <c r="L36" s="47">
        <f t="shared" si="7"/>
        <v>29.06</v>
      </c>
      <c r="M36" s="43">
        <f t="shared" si="7"/>
        <v>299.19</v>
      </c>
      <c r="N36" s="45">
        <f t="shared" si="7"/>
        <v>0</v>
      </c>
      <c r="O36" s="46">
        <f t="shared" si="7"/>
        <v>0</v>
      </c>
      <c r="P36" s="46">
        <f t="shared" si="7"/>
        <v>0</v>
      </c>
      <c r="Q36" s="47">
        <f t="shared" si="7"/>
        <v>194</v>
      </c>
      <c r="R36" s="43">
        <f t="shared" si="7"/>
        <v>194</v>
      </c>
      <c r="S36" s="22">
        <f t="shared" si="6"/>
        <v>500.74</v>
      </c>
    </row>
    <row r="37" spans="1:19" ht="27" customHeight="1" x14ac:dyDescent="0.25">
      <c r="A37" s="48"/>
      <c r="B37" s="129" t="s">
        <v>54</v>
      </c>
      <c r="C37" s="43">
        <f t="shared" ref="C37:R37" si="8">+C29+C36</f>
        <v>304.17243999999999</v>
      </c>
      <c r="D37" s="45">
        <f t="shared" si="8"/>
        <v>0.36</v>
      </c>
      <c r="E37" s="46">
        <f t="shared" si="8"/>
        <v>92.179999999999993</v>
      </c>
      <c r="F37" s="46">
        <f t="shared" si="8"/>
        <v>364.52000000000004</v>
      </c>
      <c r="G37" s="47">
        <f t="shared" si="8"/>
        <v>295.13</v>
      </c>
      <c r="H37" s="43">
        <f t="shared" si="8"/>
        <v>752.18999999999994</v>
      </c>
      <c r="I37" s="45">
        <f t="shared" si="8"/>
        <v>142.47</v>
      </c>
      <c r="J37" s="46">
        <f t="shared" si="8"/>
        <v>454.76</v>
      </c>
      <c r="K37" s="46">
        <f t="shared" si="8"/>
        <v>99.09</v>
      </c>
      <c r="L37" s="47">
        <f t="shared" si="8"/>
        <v>49.72</v>
      </c>
      <c r="M37" s="43">
        <f t="shared" si="8"/>
        <v>746.04</v>
      </c>
      <c r="N37" s="45">
        <f t="shared" si="8"/>
        <v>0</v>
      </c>
      <c r="O37" s="46">
        <f t="shared" si="8"/>
        <v>0</v>
      </c>
      <c r="P37" s="46">
        <f t="shared" si="8"/>
        <v>0</v>
      </c>
      <c r="Q37" s="47">
        <f t="shared" si="8"/>
        <v>194</v>
      </c>
      <c r="R37" s="43">
        <f t="shared" si="8"/>
        <v>194</v>
      </c>
      <c r="S37" s="22">
        <f t="shared" si="6"/>
        <v>1692.23</v>
      </c>
    </row>
    <row r="38" spans="1:19" ht="26.25" customHeight="1" x14ac:dyDescent="0.25">
      <c r="A38" s="49"/>
      <c r="B38" s="29" t="s">
        <v>572</v>
      </c>
      <c r="C38" s="37"/>
      <c r="D38" s="38"/>
      <c r="E38" s="39"/>
      <c r="F38" s="39"/>
      <c r="G38" s="40"/>
      <c r="H38" s="43"/>
      <c r="I38" s="38"/>
      <c r="J38" s="39"/>
      <c r="K38" s="39"/>
      <c r="L38" s="40"/>
      <c r="M38" s="22"/>
      <c r="N38" s="38"/>
      <c r="O38" s="39"/>
      <c r="P38" s="39"/>
      <c r="Q38" s="21"/>
      <c r="R38" s="22"/>
      <c r="S38" s="28"/>
    </row>
    <row r="39" spans="1:19" ht="27" customHeight="1" x14ac:dyDescent="0.25">
      <c r="A39" s="49" t="s">
        <v>55</v>
      </c>
      <c r="B39" s="30" t="s">
        <v>570</v>
      </c>
      <c r="C39" s="37">
        <v>0</v>
      </c>
      <c r="D39" s="38">
        <v>0</v>
      </c>
      <c r="E39" s="39">
        <v>0</v>
      </c>
      <c r="F39" s="39">
        <v>0</v>
      </c>
      <c r="G39" s="40">
        <v>0</v>
      </c>
      <c r="H39" s="43">
        <v>0</v>
      </c>
      <c r="I39" s="38">
        <v>0</v>
      </c>
      <c r="J39" s="39">
        <v>3.45</v>
      </c>
      <c r="K39" s="39">
        <v>5.3</v>
      </c>
      <c r="L39" s="40">
        <v>4.4400000000000004</v>
      </c>
      <c r="M39" s="22">
        <f>SUM(I39:L39)</f>
        <v>13.190000000000001</v>
      </c>
      <c r="N39" s="38">
        <v>0</v>
      </c>
      <c r="O39" s="39">
        <v>0</v>
      </c>
      <c r="P39" s="39">
        <v>0</v>
      </c>
      <c r="Q39" s="21">
        <v>0</v>
      </c>
      <c r="R39" s="22">
        <f>SUM(N39:Q39)</f>
        <v>0</v>
      </c>
      <c r="S39" s="22">
        <f>+H39+M39+R39</f>
        <v>13.190000000000001</v>
      </c>
    </row>
    <row r="40" spans="1:19" ht="26.25" customHeight="1" x14ac:dyDescent="0.25">
      <c r="A40" s="50" t="s">
        <v>56</v>
      </c>
      <c r="B40" s="51" t="s">
        <v>552</v>
      </c>
      <c r="C40" s="37">
        <v>0</v>
      </c>
      <c r="D40" s="38">
        <v>0</v>
      </c>
      <c r="E40" s="39">
        <v>0</v>
      </c>
      <c r="F40" s="39">
        <v>0</v>
      </c>
      <c r="G40" s="40">
        <v>0</v>
      </c>
      <c r="H40" s="43">
        <v>0</v>
      </c>
      <c r="I40" s="38">
        <v>0</v>
      </c>
      <c r="J40" s="39">
        <v>8.09</v>
      </c>
      <c r="K40" s="39">
        <v>8.77</v>
      </c>
      <c r="L40" s="40">
        <v>8.1199999999999992</v>
      </c>
      <c r="M40" s="22">
        <f>SUM(I40:L40)</f>
        <v>24.979999999999997</v>
      </c>
      <c r="N40" s="38">
        <v>0</v>
      </c>
      <c r="O40" s="39">
        <v>0</v>
      </c>
      <c r="P40" s="39">
        <v>0</v>
      </c>
      <c r="Q40" s="21">
        <v>0</v>
      </c>
      <c r="R40" s="22">
        <f>SUM(N40:Q40)</f>
        <v>0</v>
      </c>
      <c r="S40" s="22">
        <f>+H40+M40+R40</f>
        <v>24.979999999999997</v>
      </c>
    </row>
    <row r="41" spans="1:19" ht="27.75" customHeight="1" x14ac:dyDescent="0.25">
      <c r="A41" s="52"/>
      <c r="B41" s="53" t="s">
        <v>575</v>
      </c>
      <c r="C41" s="43">
        <f t="shared" ref="C41:R41" si="9">SUM(C39:C40)</f>
        <v>0</v>
      </c>
      <c r="D41" s="45">
        <f t="shared" si="9"/>
        <v>0</v>
      </c>
      <c r="E41" s="46">
        <f t="shared" si="9"/>
        <v>0</v>
      </c>
      <c r="F41" s="46">
        <f t="shared" si="9"/>
        <v>0</v>
      </c>
      <c r="G41" s="47">
        <f t="shared" si="9"/>
        <v>0</v>
      </c>
      <c r="H41" s="43">
        <f t="shared" si="9"/>
        <v>0</v>
      </c>
      <c r="I41" s="45">
        <f t="shared" si="9"/>
        <v>0</v>
      </c>
      <c r="J41" s="46">
        <f t="shared" si="9"/>
        <v>11.54</v>
      </c>
      <c r="K41" s="46">
        <f t="shared" si="9"/>
        <v>14.07</v>
      </c>
      <c r="L41" s="47">
        <f t="shared" si="9"/>
        <v>12.559999999999999</v>
      </c>
      <c r="M41" s="43">
        <f t="shared" si="9"/>
        <v>38.17</v>
      </c>
      <c r="N41" s="45">
        <f t="shared" si="9"/>
        <v>0</v>
      </c>
      <c r="O41" s="46">
        <f t="shared" si="9"/>
        <v>0</v>
      </c>
      <c r="P41" s="46">
        <f t="shared" si="9"/>
        <v>0</v>
      </c>
      <c r="Q41" s="47">
        <f t="shared" si="9"/>
        <v>0</v>
      </c>
      <c r="R41" s="43">
        <f t="shared" si="9"/>
        <v>0</v>
      </c>
      <c r="S41" s="43">
        <f>+H41+M41+R41</f>
        <v>38.17</v>
      </c>
    </row>
    <row r="42" spans="1:19" ht="15" customHeight="1" x14ac:dyDescent="0.25">
      <c r="A42" s="54"/>
      <c r="B42" s="125" t="s">
        <v>573</v>
      </c>
      <c r="C42" s="37"/>
      <c r="D42" s="38"/>
      <c r="E42" s="39"/>
      <c r="F42" s="39"/>
      <c r="G42" s="40"/>
      <c r="H42" s="43"/>
      <c r="I42" s="38"/>
      <c r="J42" s="39"/>
      <c r="K42" s="39"/>
      <c r="L42" s="40"/>
      <c r="M42" s="22"/>
      <c r="N42" s="38"/>
      <c r="O42" s="39"/>
      <c r="P42" s="39"/>
      <c r="Q42" s="21"/>
      <c r="R42" s="22"/>
      <c r="S42" s="28"/>
    </row>
    <row r="43" spans="1:19" ht="15" customHeight="1" x14ac:dyDescent="0.25">
      <c r="A43" s="49" t="s">
        <v>57</v>
      </c>
      <c r="B43" s="55" t="s">
        <v>554</v>
      </c>
      <c r="C43" s="43">
        <f>50772.82/1000</f>
        <v>50.772820000000003</v>
      </c>
      <c r="D43" s="38">
        <v>0</v>
      </c>
      <c r="E43" s="39">
        <v>7.56</v>
      </c>
      <c r="F43" s="39">
        <v>0</v>
      </c>
      <c r="G43" s="40">
        <v>0</v>
      </c>
      <c r="H43" s="43">
        <f>SUM(D43:G43)</f>
        <v>7.56</v>
      </c>
      <c r="I43" s="38">
        <v>0</v>
      </c>
      <c r="J43" s="39">
        <v>0</v>
      </c>
      <c r="K43" s="39">
        <v>0</v>
      </c>
      <c r="L43" s="40">
        <v>0</v>
      </c>
      <c r="M43" s="22">
        <v>0</v>
      </c>
      <c r="N43" s="38">
        <v>0</v>
      </c>
      <c r="O43" s="39">
        <v>0</v>
      </c>
      <c r="P43" s="39">
        <v>0</v>
      </c>
      <c r="Q43" s="21">
        <v>0</v>
      </c>
      <c r="R43" s="22">
        <v>0</v>
      </c>
      <c r="S43" s="22">
        <f>+H43+M43+R43</f>
        <v>7.56</v>
      </c>
    </row>
    <row r="44" spans="1:19" ht="15" customHeight="1" x14ac:dyDescent="0.25">
      <c r="A44" s="49" t="s">
        <v>58</v>
      </c>
      <c r="B44" s="55" t="s">
        <v>555</v>
      </c>
      <c r="C44" s="43">
        <f>58233.78/1000</f>
        <v>58.233779999999996</v>
      </c>
      <c r="D44" s="38">
        <v>0</v>
      </c>
      <c r="E44" s="39">
        <v>11.51</v>
      </c>
      <c r="F44" s="39">
        <v>0</v>
      </c>
      <c r="G44" s="40">
        <v>0</v>
      </c>
      <c r="H44" s="43">
        <f>SUM(D44:G44)</f>
        <v>11.51</v>
      </c>
      <c r="I44" s="38">
        <v>0</v>
      </c>
      <c r="J44" s="39">
        <v>0</v>
      </c>
      <c r="K44" s="39">
        <v>0</v>
      </c>
      <c r="L44" s="40">
        <v>0</v>
      </c>
      <c r="M44" s="22">
        <v>0</v>
      </c>
      <c r="N44" s="38">
        <v>0</v>
      </c>
      <c r="O44" s="39">
        <v>0</v>
      </c>
      <c r="P44" s="39">
        <v>0</v>
      </c>
      <c r="Q44" s="21">
        <v>0</v>
      </c>
      <c r="R44" s="22">
        <v>0</v>
      </c>
      <c r="S44" s="22">
        <f>+H44+M44+R44</f>
        <v>11.51</v>
      </c>
    </row>
    <row r="45" spans="1:19" ht="27" customHeight="1" x14ac:dyDescent="0.25">
      <c r="A45" s="49"/>
      <c r="B45" s="126" t="s">
        <v>59</v>
      </c>
      <c r="C45" s="43">
        <f>+C43+C44</f>
        <v>109.00659999999999</v>
      </c>
      <c r="D45" s="10">
        <v>0</v>
      </c>
      <c r="E45" s="46">
        <f t="shared" ref="E45:R45" si="10">+E43+E44</f>
        <v>19.07</v>
      </c>
      <c r="F45" s="46">
        <f t="shared" si="10"/>
        <v>0</v>
      </c>
      <c r="G45" s="47">
        <f t="shared" si="10"/>
        <v>0</v>
      </c>
      <c r="H45" s="43">
        <f t="shared" si="10"/>
        <v>19.07</v>
      </c>
      <c r="I45" s="45">
        <f t="shared" si="10"/>
        <v>0</v>
      </c>
      <c r="J45" s="46">
        <f t="shared" si="10"/>
        <v>0</v>
      </c>
      <c r="K45" s="46">
        <f t="shared" si="10"/>
        <v>0</v>
      </c>
      <c r="L45" s="47">
        <f t="shared" si="10"/>
        <v>0</v>
      </c>
      <c r="M45" s="43">
        <f t="shared" si="10"/>
        <v>0</v>
      </c>
      <c r="N45" s="45">
        <f t="shared" si="10"/>
        <v>0</v>
      </c>
      <c r="O45" s="46">
        <f t="shared" si="10"/>
        <v>0</v>
      </c>
      <c r="P45" s="46">
        <f t="shared" si="10"/>
        <v>0</v>
      </c>
      <c r="Q45" s="47">
        <f t="shared" si="10"/>
        <v>0</v>
      </c>
      <c r="R45" s="43">
        <f t="shared" si="10"/>
        <v>0</v>
      </c>
      <c r="S45" s="43">
        <f>+H45+M45+R45</f>
        <v>19.07</v>
      </c>
    </row>
    <row r="46" spans="1:19" ht="15" customHeight="1" x14ac:dyDescent="0.25">
      <c r="A46" s="56"/>
      <c r="B46" s="57" t="s">
        <v>60</v>
      </c>
      <c r="C46" s="43">
        <f>+C29+C36+C41+C45</f>
        <v>413.17903999999999</v>
      </c>
      <c r="D46" s="45">
        <f>D29+D36+D41+D45</f>
        <v>0.36</v>
      </c>
      <c r="E46" s="46">
        <f t="shared" ref="E46:R46" si="11">+E29+E36+E41+E45</f>
        <v>111.25</v>
      </c>
      <c r="F46" s="46">
        <f t="shared" si="11"/>
        <v>364.52000000000004</v>
      </c>
      <c r="G46" s="47">
        <f t="shared" si="11"/>
        <v>295.13</v>
      </c>
      <c r="H46" s="43">
        <f t="shared" si="11"/>
        <v>771.26</v>
      </c>
      <c r="I46" s="45">
        <f t="shared" si="11"/>
        <v>142.47</v>
      </c>
      <c r="J46" s="46">
        <f t="shared" si="11"/>
        <v>466.3</v>
      </c>
      <c r="K46" s="46">
        <f t="shared" si="11"/>
        <v>113.16</v>
      </c>
      <c r="L46" s="47">
        <f t="shared" si="11"/>
        <v>62.28</v>
      </c>
      <c r="M46" s="43">
        <f t="shared" si="11"/>
        <v>784.20999999999992</v>
      </c>
      <c r="N46" s="45">
        <f t="shared" si="11"/>
        <v>0</v>
      </c>
      <c r="O46" s="46">
        <f t="shared" si="11"/>
        <v>0</v>
      </c>
      <c r="P46" s="46">
        <f t="shared" si="11"/>
        <v>0</v>
      </c>
      <c r="Q46" s="47">
        <f t="shared" si="11"/>
        <v>194</v>
      </c>
      <c r="R46" s="43">
        <f t="shared" si="11"/>
        <v>194</v>
      </c>
      <c r="S46" s="43">
        <f>+H46+M46+R46</f>
        <v>1749.4699999999998</v>
      </c>
    </row>
    <row r="47" spans="1:19" ht="15" customHeight="1" x14ac:dyDescent="0.25">
      <c r="A47" s="16"/>
      <c r="B47" s="58" t="s">
        <v>61</v>
      </c>
      <c r="C47" s="43"/>
      <c r="D47" s="45"/>
      <c r="E47" s="46"/>
      <c r="F47" s="46"/>
      <c r="G47" s="47"/>
      <c r="H47" s="43"/>
      <c r="I47" s="38"/>
      <c r="J47" s="39"/>
      <c r="K47" s="39"/>
      <c r="L47" s="40"/>
      <c r="M47" s="22"/>
      <c r="N47" s="38"/>
      <c r="O47" s="39"/>
      <c r="P47" s="39"/>
      <c r="Q47" s="21"/>
      <c r="R47" s="22"/>
      <c r="S47" s="28"/>
    </row>
    <row r="48" spans="1:19" ht="15" customHeight="1" x14ac:dyDescent="0.25">
      <c r="A48" s="16"/>
      <c r="B48" s="58" t="s">
        <v>62</v>
      </c>
      <c r="C48" s="43"/>
      <c r="D48" s="45"/>
      <c r="E48" s="46"/>
      <c r="F48" s="46"/>
      <c r="G48" s="47"/>
      <c r="H48" s="43"/>
      <c r="I48" s="38"/>
      <c r="J48" s="39"/>
      <c r="K48" s="39"/>
      <c r="L48" s="40"/>
      <c r="M48" s="22"/>
      <c r="N48" s="38"/>
      <c r="O48" s="39"/>
      <c r="P48" s="39"/>
      <c r="Q48" s="21"/>
      <c r="R48" s="22"/>
      <c r="S48" s="28"/>
    </row>
    <row r="49" spans="1:19" ht="15" customHeight="1" x14ac:dyDescent="0.25">
      <c r="A49" s="16" t="s">
        <v>63</v>
      </c>
      <c r="B49" s="42" t="s">
        <v>553</v>
      </c>
      <c r="C49" s="43">
        <f>47310.5/1000</f>
        <v>47.310499999999998</v>
      </c>
      <c r="D49" s="38">
        <v>0</v>
      </c>
      <c r="E49" s="39">
        <v>40.07</v>
      </c>
      <c r="F49" s="39">
        <v>0</v>
      </c>
      <c r="G49" s="40">
        <v>0</v>
      </c>
      <c r="H49" s="43">
        <f t="shared" ref="H49:H79" si="12">SUM(D49:G49)</f>
        <v>40.07</v>
      </c>
      <c r="I49" s="38">
        <v>0</v>
      </c>
      <c r="J49" s="39">
        <v>0</v>
      </c>
      <c r="K49" s="39">
        <v>0</v>
      </c>
      <c r="L49" s="40">
        <v>0</v>
      </c>
      <c r="M49" s="22">
        <f t="shared" ref="M49:M79" si="13">SUM(I49:L49)</f>
        <v>0</v>
      </c>
      <c r="N49" s="38">
        <v>0</v>
      </c>
      <c r="O49" s="39">
        <v>0</v>
      </c>
      <c r="P49" s="39">
        <v>0</v>
      </c>
      <c r="Q49" s="21">
        <v>0</v>
      </c>
      <c r="R49" s="22">
        <f t="shared" ref="R49:R79" si="14">SUM(N49:Q49)</f>
        <v>0</v>
      </c>
      <c r="S49" s="22">
        <f t="shared" ref="S49:S107" si="15">+H49+M49+R49</f>
        <v>40.07</v>
      </c>
    </row>
    <row r="50" spans="1:19" ht="27" customHeight="1" x14ac:dyDescent="0.25">
      <c r="A50" s="16" t="s">
        <v>64</v>
      </c>
      <c r="B50" s="55" t="s">
        <v>559</v>
      </c>
      <c r="C50" s="43">
        <f>12500/1000</f>
        <v>12.5</v>
      </c>
      <c r="D50" s="38">
        <v>0</v>
      </c>
      <c r="E50" s="39">
        <v>0</v>
      </c>
      <c r="F50" s="39">
        <v>0</v>
      </c>
      <c r="G50" s="40">
        <v>92.3</v>
      </c>
      <c r="H50" s="43">
        <f t="shared" si="12"/>
        <v>92.3</v>
      </c>
      <c r="I50" s="38">
        <v>0</v>
      </c>
      <c r="J50" s="39">
        <v>0</v>
      </c>
      <c r="K50" s="39">
        <v>0</v>
      </c>
      <c r="L50" s="40">
        <v>0</v>
      </c>
      <c r="M50" s="22">
        <f t="shared" si="13"/>
        <v>0</v>
      </c>
      <c r="N50" s="38">
        <v>0</v>
      </c>
      <c r="O50" s="39">
        <v>0</v>
      </c>
      <c r="P50" s="39">
        <v>0</v>
      </c>
      <c r="Q50" s="21">
        <v>0</v>
      </c>
      <c r="R50" s="22">
        <f t="shared" si="14"/>
        <v>0</v>
      </c>
      <c r="S50" s="22">
        <f t="shared" si="15"/>
        <v>92.3</v>
      </c>
    </row>
    <row r="51" spans="1:19" ht="26.25" customHeight="1" x14ac:dyDescent="0.25">
      <c r="A51" s="16" t="s">
        <v>65</v>
      </c>
      <c r="B51" s="55" t="s">
        <v>562</v>
      </c>
      <c r="C51" s="43">
        <f>15500/1000</f>
        <v>15.5</v>
      </c>
      <c r="D51" s="38">
        <v>0</v>
      </c>
      <c r="E51" s="39">
        <v>33.44</v>
      </c>
      <c r="F51" s="39">
        <v>40.76</v>
      </c>
      <c r="G51" s="40">
        <v>0</v>
      </c>
      <c r="H51" s="43">
        <f t="shared" si="12"/>
        <v>74.199999999999989</v>
      </c>
      <c r="I51" s="38">
        <v>0</v>
      </c>
      <c r="J51" s="39">
        <v>0</v>
      </c>
      <c r="K51" s="39">
        <v>0</v>
      </c>
      <c r="L51" s="40">
        <v>0</v>
      </c>
      <c r="M51" s="22">
        <f t="shared" si="13"/>
        <v>0</v>
      </c>
      <c r="N51" s="38">
        <v>0</v>
      </c>
      <c r="O51" s="39">
        <v>0</v>
      </c>
      <c r="P51" s="39">
        <v>0</v>
      </c>
      <c r="Q51" s="21">
        <v>0</v>
      </c>
      <c r="R51" s="22">
        <f t="shared" si="14"/>
        <v>0</v>
      </c>
      <c r="S51" s="22">
        <f t="shared" si="15"/>
        <v>74.199999999999989</v>
      </c>
    </row>
    <row r="52" spans="1:19" ht="15" customHeight="1" x14ac:dyDescent="0.25">
      <c r="A52" s="16" t="s">
        <v>66</v>
      </c>
      <c r="B52" s="55" t="s">
        <v>67</v>
      </c>
      <c r="C52" s="43">
        <f>4300/1000</f>
        <v>4.3</v>
      </c>
      <c r="D52" s="38">
        <v>0</v>
      </c>
      <c r="E52" s="39">
        <v>0</v>
      </c>
      <c r="F52" s="39">
        <v>0</v>
      </c>
      <c r="G52" s="40">
        <v>20.260000000000002</v>
      </c>
      <c r="H52" s="43">
        <f t="shared" si="12"/>
        <v>20.260000000000002</v>
      </c>
      <c r="I52" s="38">
        <v>22.86</v>
      </c>
      <c r="J52" s="39">
        <v>0</v>
      </c>
      <c r="K52" s="39">
        <v>0</v>
      </c>
      <c r="L52" s="40">
        <v>0</v>
      </c>
      <c r="M52" s="22">
        <f t="shared" si="13"/>
        <v>22.86</v>
      </c>
      <c r="N52" s="38">
        <v>0</v>
      </c>
      <c r="O52" s="39">
        <v>0</v>
      </c>
      <c r="P52" s="39">
        <v>0</v>
      </c>
      <c r="Q52" s="21">
        <v>0</v>
      </c>
      <c r="R52" s="22">
        <f t="shared" si="14"/>
        <v>0</v>
      </c>
      <c r="S52" s="22">
        <f t="shared" si="15"/>
        <v>43.120000000000005</v>
      </c>
    </row>
    <row r="53" spans="1:19" ht="27" customHeight="1" x14ac:dyDescent="0.25">
      <c r="A53" s="16" t="s">
        <v>68</v>
      </c>
      <c r="B53" s="55" t="s">
        <v>564</v>
      </c>
      <c r="C53" s="43">
        <v>0</v>
      </c>
      <c r="D53" s="38">
        <v>0</v>
      </c>
      <c r="E53" s="39">
        <v>0</v>
      </c>
      <c r="F53" s="39">
        <v>0</v>
      </c>
      <c r="G53" s="40">
        <v>0</v>
      </c>
      <c r="H53" s="43">
        <f t="shared" si="12"/>
        <v>0</v>
      </c>
      <c r="I53" s="38">
        <v>0</v>
      </c>
      <c r="J53" s="39">
        <v>20</v>
      </c>
      <c r="K53" s="39">
        <v>14.27</v>
      </c>
      <c r="L53" s="40">
        <v>0</v>
      </c>
      <c r="M53" s="22">
        <f t="shared" si="13"/>
        <v>34.269999999999996</v>
      </c>
      <c r="N53" s="38">
        <v>0</v>
      </c>
      <c r="O53" s="39">
        <v>0</v>
      </c>
      <c r="P53" s="39">
        <v>0</v>
      </c>
      <c r="Q53" s="21">
        <v>0</v>
      </c>
      <c r="R53" s="22">
        <f t="shared" si="14"/>
        <v>0</v>
      </c>
      <c r="S53" s="22">
        <f t="shared" si="15"/>
        <v>34.269999999999996</v>
      </c>
    </row>
    <row r="54" spans="1:19" ht="15" customHeight="1" x14ac:dyDescent="0.25">
      <c r="A54" s="16" t="s">
        <v>69</v>
      </c>
      <c r="B54" s="42" t="s">
        <v>535</v>
      </c>
      <c r="C54" s="43">
        <v>0</v>
      </c>
      <c r="D54" s="38">
        <v>0</v>
      </c>
      <c r="E54" s="39">
        <v>0</v>
      </c>
      <c r="F54" s="39">
        <v>5.75</v>
      </c>
      <c r="G54" s="40">
        <v>52.43</v>
      </c>
      <c r="H54" s="43">
        <f t="shared" si="12"/>
        <v>58.18</v>
      </c>
      <c r="I54" s="38">
        <v>30</v>
      </c>
      <c r="J54" s="39">
        <v>25.81</v>
      </c>
      <c r="K54" s="39">
        <v>0</v>
      </c>
      <c r="L54" s="40">
        <v>0</v>
      </c>
      <c r="M54" s="22">
        <f t="shared" si="13"/>
        <v>55.81</v>
      </c>
      <c r="N54" s="38">
        <v>0</v>
      </c>
      <c r="O54" s="39">
        <v>0</v>
      </c>
      <c r="P54" s="39">
        <v>0</v>
      </c>
      <c r="Q54" s="21">
        <v>0</v>
      </c>
      <c r="R54" s="22">
        <f t="shared" si="14"/>
        <v>0</v>
      </c>
      <c r="S54" s="22">
        <f t="shared" si="15"/>
        <v>113.99000000000001</v>
      </c>
    </row>
    <row r="55" spans="1:19" ht="15" customHeight="1" x14ac:dyDescent="0.25">
      <c r="A55" s="16" t="s">
        <v>71</v>
      </c>
      <c r="B55" s="42" t="s">
        <v>536</v>
      </c>
      <c r="C55" s="43">
        <v>0</v>
      </c>
      <c r="D55" s="38">
        <v>0</v>
      </c>
      <c r="E55" s="39">
        <v>0</v>
      </c>
      <c r="F55" s="39">
        <v>0</v>
      </c>
      <c r="G55" s="40">
        <v>82.46</v>
      </c>
      <c r="H55" s="43">
        <f t="shared" si="12"/>
        <v>82.46</v>
      </c>
      <c r="I55" s="38">
        <v>0</v>
      </c>
      <c r="J55" s="39">
        <v>0</v>
      </c>
      <c r="K55" s="39">
        <v>0</v>
      </c>
      <c r="L55" s="40">
        <v>0</v>
      </c>
      <c r="M55" s="22">
        <f t="shared" si="13"/>
        <v>0</v>
      </c>
      <c r="N55" s="38">
        <v>0</v>
      </c>
      <c r="O55" s="39">
        <v>0</v>
      </c>
      <c r="P55" s="39">
        <v>0</v>
      </c>
      <c r="Q55" s="21">
        <v>0</v>
      </c>
      <c r="R55" s="22">
        <f t="shared" si="14"/>
        <v>0</v>
      </c>
      <c r="S55" s="22">
        <f t="shared" si="15"/>
        <v>82.46</v>
      </c>
    </row>
    <row r="56" spans="1:19" ht="15" customHeight="1" x14ac:dyDescent="0.25">
      <c r="A56" s="16" t="s">
        <v>72</v>
      </c>
      <c r="B56" s="42" t="s">
        <v>73</v>
      </c>
      <c r="C56" s="43">
        <f>3850/1000</f>
        <v>3.85</v>
      </c>
      <c r="D56" s="38">
        <v>0</v>
      </c>
      <c r="E56" s="39">
        <v>0</v>
      </c>
      <c r="F56" s="39">
        <v>30</v>
      </c>
      <c r="G56" s="40">
        <v>43.42</v>
      </c>
      <c r="H56" s="43">
        <f t="shared" si="12"/>
        <v>73.42</v>
      </c>
      <c r="I56" s="38">
        <v>0</v>
      </c>
      <c r="J56" s="39">
        <v>0</v>
      </c>
      <c r="K56" s="39">
        <v>0</v>
      </c>
      <c r="L56" s="40">
        <v>0</v>
      </c>
      <c r="M56" s="22">
        <f t="shared" si="13"/>
        <v>0</v>
      </c>
      <c r="N56" s="38">
        <v>0</v>
      </c>
      <c r="O56" s="39">
        <v>0</v>
      </c>
      <c r="P56" s="39">
        <v>0</v>
      </c>
      <c r="Q56" s="21">
        <v>0</v>
      </c>
      <c r="R56" s="22">
        <f t="shared" si="14"/>
        <v>0</v>
      </c>
      <c r="S56" s="22">
        <f t="shared" si="15"/>
        <v>73.42</v>
      </c>
    </row>
    <row r="57" spans="1:19" ht="15" customHeight="1" x14ac:dyDescent="0.25">
      <c r="A57" s="16" t="s">
        <v>74</v>
      </c>
      <c r="B57" s="42" t="s">
        <v>75</v>
      </c>
      <c r="C57" s="43">
        <f>61658.05/1000</f>
        <v>61.658050000000003</v>
      </c>
      <c r="D57" s="38">
        <v>0</v>
      </c>
      <c r="E57" s="39">
        <v>0</v>
      </c>
      <c r="F57" s="39">
        <v>0</v>
      </c>
      <c r="G57" s="40">
        <v>0</v>
      </c>
      <c r="H57" s="43">
        <f t="shared" si="12"/>
        <v>0</v>
      </c>
      <c r="I57" s="38">
        <v>0</v>
      </c>
      <c r="J57" s="39">
        <v>0</v>
      </c>
      <c r="K57" s="39">
        <v>0</v>
      </c>
      <c r="L57" s="40">
        <v>0</v>
      </c>
      <c r="M57" s="22">
        <f t="shared" si="13"/>
        <v>0</v>
      </c>
      <c r="N57" s="38">
        <v>0</v>
      </c>
      <c r="O57" s="39">
        <v>0</v>
      </c>
      <c r="P57" s="39">
        <v>0</v>
      </c>
      <c r="Q57" s="21">
        <v>0</v>
      </c>
      <c r="R57" s="22">
        <f t="shared" si="14"/>
        <v>0</v>
      </c>
      <c r="S57" s="22">
        <f t="shared" si="15"/>
        <v>0</v>
      </c>
    </row>
    <row r="58" spans="1:19" ht="15" customHeight="1" x14ac:dyDescent="0.25">
      <c r="A58" s="16" t="s">
        <v>76</v>
      </c>
      <c r="B58" s="42" t="s">
        <v>77</v>
      </c>
      <c r="C58" s="43">
        <v>0</v>
      </c>
      <c r="D58" s="38">
        <v>0</v>
      </c>
      <c r="E58" s="39">
        <v>0</v>
      </c>
      <c r="F58" s="39">
        <v>0</v>
      </c>
      <c r="G58" s="40">
        <v>30</v>
      </c>
      <c r="H58" s="43">
        <f t="shared" si="12"/>
        <v>30</v>
      </c>
      <c r="I58" s="38">
        <v>10</v>
      </c>
      <c r="J58" s="39">
        <v>27.51</v>
      </c>
      <c r="K58" s="39">
        <v>0</v>
      </c>
      <c r="L58" s="40">
        <v>0</v>
      </c>
      <c r="M58" s="22">
        <f t="shared" si="13"/>
        <v>37.510000000000005</v>
      </c>
      <c r="N58" s="38">
        <v>0</v>
      </c>
      <c r="O58" s="39">
        <v>0</v>
      </c>
      <c r="P58" s="39">
        <v>0</v>
      </c>
      <c r="Q58" s="21">
        <v>0</v>
      </c>
      <c r="R58" s="22">
        <f t="shared" si="14"/>
        <v>0</v>
      </c>
      <c r="S58" s="22">
        <f t="shared" si="15"/>
        <v>67.510000000000005</v>
      </c>
    </row>
    <row r="59" spans="1:19" ht="15" customHeight="1" x14ac:dyDescent="0.25">
      <c r="A59" s="16" t="s">
        <v>78</v>
      </c>
      <c r="B59" s="42" t="s">
        <v>79</v>
      </c>
      <c r="C59" s="43">
        <v>0</v>
      </c>
      <c r="D59" s="38">
        <v>0</v>
      </c>
      <c r="E59" s="39">
        <v>0</v>
      </c>
      <c r="F59" s="39">
        <v>0</v>
      </c>
      <c r="G59" s="40">
        <v>0</v>
      </c>
      <c r="H59" s="43">
        <f t="shared" si="12"/>
        <v>0</v>
      </c>
      <c r="I59" s="38">
        <v>0</v>
      </c>
      <c r="J59" s="39">
        <v>0</v>
      </c>
      <c r="K59" s="39">
        <v>0</v>
      </c>
      <c r="L59" s="40">
        <v>0</v>
      </c>
      <c r="M59" s="22">
        <f t="shared" si="13"/>
        <v>0</v>
      </c>
      <c r="N59" s="38">
        <v>5</v>
      </c>
      <c r="O59" s="39">
        <v>5</v>
      </c>
      <c r="P59" s="39">
        <v>30</v>
      </c>
      <c r="Q59" s="21">
        <v>34.6</v>
      </c>
      <c r="R59" s="22">
        <f t="shared" si="14"/>
        <v>74.599999999999994</v>
      </c>
      <c r="S59" s="22">
        <f t="shared" si="15"/>
        <v>74.599999999999994</v>
      </c>
    </row>
    <row r="60" spans="1:19" ht="15" customHeight="1" x14ac:dyDescent="0.25">
      <c r="A60" s="16" t="s">
        <v>80</v>
      </c>
      <c r="B60" s="42" t="s">
        <v>81</v>
      </c>
      <c r="C60" s="43">
        <v>0</v>
      </c>
      <c r="D60" s="38">
        <v>0</v>
      </c>
      <c r="E60" s="39">
        <v>0</v>
      </c>
      <c r="F60" s="39">
        <v>0</v>
      </c>
      <c r="G60" s="40">
        <v>0</v>
      </c>
      <c r="H60" s="43">
        <f t="shared" si="12"/>
        <v>0</v>
      </c>
      <c r="I60" s="38">
        <v>0</v>
      </c>
      <c r="J60" s="39">
        <v>0</v>
      </c>
      <c r="K60" s="39">
        <v>5</v>
      </c>
      <c r="L60" s="40">
        <v>10</v>
      </c>
      <c r="M60" s="22">
        <f t="shared" si="13"/>
        <v>15</v>
      </c>
      <c r="N60" s="38">
        <v>5</v>
      </c>
      <c r="O60" s="39">
        <v>10</v>
      </c>
      <c r="P60" s="39">
        <v>10</v>
      </c>
      <c r="Q60" s="21">
        <v>9.23</v>
      </c>
      <c r="R60" s="22">
        <f t="shared" si="14"/>
        <v>34.230000000000004</v>
      </c>
      <c r="S60" s="22">
        <f t="shared" si="15"/>
        <v>49.230000000000004</v>
      </c>
    </row>
    <row r="61" spans="1:19" ht="15" customHeight="1" x14ac:dyDescent="0.25">
      <c r="A61" s="16" t="s">
        <v>82</v>
      </c>
      <c r="B61" s="42" t="s">
        <v>83</v>
      </c>
      <c r="C61" s="43">
        <v>0</v>
      </c>
      <c r="D61" s="38">
        <v>0</v>
      </c>
      <c r="E61" s="39">
        <v>0</v>
      </c>
      <c r="F61" s="39">
        <v>0</v>
      </c>
      <c r="G61" s="40">
        <v>0</v>
      </c>
      <c r="H61" s="43">
        <f t="shared" si="12"/>
        <v>0</v>
      </c>
      <c r="I61" s="38">
        <v>0</v>
      </c>
      <c r="J61" s="39">
        <v>0</v>
      </c>
      <c r="K61" s="39">
        <v>5</v>
      </c>
      <c r="L61" s="40">
        <v>10</v>
      </c>
      <c r="M61" s="22">
        <f t="shared" si="13"/>
        <v>15</v>
      </c>
      <c r="N61" s="38">
        <v>5</v>
      </c>
      <c r="O61" s="39">
        <v>10</v>
      </c>
      <c r="P61" s="39">
        <v>10</v>
      </c>
      <c r="Q61" s="21">
        <v>8.85</v>
      </c>
      <c r="R61" s="22">
        <f t="shared" si="14"/>
        <v>33.85</v>
      </c>
      <c r="S61" s="22">
        <f t="shared" si="15"/>
        <v>48.85</v>
      </c>
    </row>
    <row r="62" spans="1:19" ht="15" customHeight="1" x14ac:dyDescent="0.25">
      <c r="A62" s="16" t="s">
        <v>84</v>
      </c>
      <c r="B62" s="42" t="s">
        <v>85</v>
      </c>
      <c r="C62" s="43">
        <v>0</v>
      </c>
      <c r="D62" s="38">
        <v>0</v>
      </c>
      <c r="E62" s="39">
        <v>0</v>
      </c>
      <c r="F62" s="39">
        <v>0</v>
      </c>
      <c r="G62" s="40">
        <v>0</v>
      </c>
      <c r="H62" s="43">
        <f t="shared" si="12"/>
        <v>0</v>
      </c>
      <c r="I62" s="38">
        <v>0</v>
      </c>
      <c r="J62" s="39">
        <v>0</v>
      </c>
      <c r="K62" s="39">
        <v>5</v>
      </c>
      <c r="L62" s="40">
        <v>10</v>
      </c>
      <c r="M62" s="22">
        <f t="shared" si="13"/>
        <v>15</v>
      </c>
      <c r="N62" s="38">
        <v>5</v>
      </c>
      <c r="O62" s="39">
        <v>10</v>
      </c>
      <c r="P62" s="39">
        <v>10</v>
      </c>
      <c r="Q62" s="21">
        <v>14.66</v>
      </c>
      <c r="R62" s="22">
        <f t="shared" si="14"/>
        <v>39.659999999999997</v>
      </c>
      <c r="S62" s="22">
        <f t="shared" si="15"/>
        <v>54.66</v>
      </c>
    </row>
    <row r="63" spans="1:19" ht="15" customHeight="1" x14ac:dyDescent="0.25">
      <c r="A63" s="16" t="s">
        <v>86</v>
      </c>
      <c r="B63" s="42" t="s">
        <v>87</v>
      </c>
      <c r="C63" s="43">
        <v>0</v>
      </c>
      <c r="D63" s="38">
        <v>0</v>
      </c>
      <c r="E63" s="39">
        <v>0</v>
      </c>
      <c r="F63" s="39">
        <v>0</v>
      </c>
      <c r="G63" s="40">
        <v>0</v>
      </c>
      <c r="H63" s="43">
        <f t="shared" si="12"/>
        <v>0</v>
      </c>
      <c r="I63" s="38">
        <v>0</v>
      </c>
      <c r="J63" s="39">
        <v>0</v>
      </c>
      <c r="K63" s="39">
        <v>0</v>
      </c>
      <c r="L63" s="40">
        <v>0</v>
      </c>
      <c r="M63" s="22">
        <f t="shared" si="13"/>
        <v>0</v>
      </c>
      <c r="N63" s="38">
        <v>5</v>
      </c>
      <c r="O63" s="39">
        <v>15</v>
      </c>
      <c r="P63" s="39">
        <v>20</v>
      </c>
      <c r="Q63" s="21">
        <v>20</v>
      </c>
      <c r="R63" s="22">
        <f t="shared" si="14"/>
        <v>60</v>
      </c>
      <c r="S63" s="22">
        <f t="shared" si="15"/>
        <v>60</v>
      </c>
    </row>
    <row r="64" spans="1:19" ht="15" customHeight="1" x14ac:dyDescent="0.25">
      <c r="A64" s="16" t="s">
        <v>88</v>
      </c>
      <c r="B64" s="42" t="s">
        <v>89</v>
      </c>
      <c r="C64" s="43">
        <v>0</v>
      </c>
      <c r="D64" s="38">
        <v>0</v>
      </c>
      <c r="E64" s="39">
        <v>0</v>
      </c>
      <c r="F64" s="39">
        <v>0</v>
      </c>
      <c r="G64" s="40">
        <v>0</v>
      </c>
      <c r="H64" s="43">
        <f t="shared" si="12"/>
        <v>0</v>
      </c>
      <c r="I64" s="38">
        <v>0</v>
      </c>
      <c r="J64" s="39">
        <v>15</v>
      </c>
      <c r="K64" s="39">
        <v>15</v>
      </c>
      <c r="L64" s="40">
        <v>0</v>
      </c>
      <c r="M64" s="22">
        <f t="shared" si="13"/>
        <v>30</v>
      </c>
      <c r="N64" s="38">
        <v>5</v>
      </c>
      <c r="O64" s="39">
        <v>5</v>
      </c>
      <c r="P64" s="39">
        <v>5</v>
      </c>
      <c r="Q64" s="21">
        <v>4.9400000000000004</v>
      </c>
      <c r="R64" s="22">
        <f t="shared" si="14"/>
        <v>19.940000000000001</v>
      </c>
      <c r="S64" s="22">
        <f t="shared" si="15"/>
        <v>49.94</v>
      </c>
    </row>
    <row r="65" spans="1:19" ht="15" customHeight="1" x14ac:dyDescent="0.25">
      <c r="A65" s="16" t="s">
        <v>90</v>
      </c>
      <c r="B65" s="55" t="s">
        <v>91</v>
      </c>
      <c r="C65" s="43">
        <f>16947.84/1000</f>
        <v>16.947839999999999</v>
      </c>
      <c r="D65" s="38">
        <v>0</v>
      </c>
      <c r="E65" s="39">
        <v>0</v>
      </c>
      <c r="F65" s="39">
        <v>0</v>
      </c>
      <c r="G65" s="40">
        <v>0</v>
      </c>
      <c r="H65" s="43">
        <f t="shared" si="12"/>
        <v>0</v>
      </c>
      <c r="I65" s="38">
        <v>0</v>
      </c>
      <c r="J65" s="39">
        <v>0</v>
      </c>
      <c r="K65" s="39">
        <v>0</v>
      </c>
      <c r="L65" s="40">
        <v>0</v>
      </c>
      <c r="M65" s="22">
        <f t="shared" si="13"/>
        <v>0</v>
      </c>
      <c r="N65" s="38">
        <v>0</v>
      </c>
      <c r="O65" s="39">
        <v>0</v>
      </c>
      <c r="P65" s="39">
        <v>0</v>
      </c>
      <c r="Q65" s="21">
        <v>0</v>
      </c>
      <c r="R65" s="22">
        <f t="shared" si="14"/>
        <v>0</v>
      </c>
      <c r="S65" s="22">
        <f t="shared" si="15"/>
        <v>0</v>
      </c>
    </row>
    <row r="66" spans="1:19" ht="15" customHeight="1" x14ac:dyDescent="0.25">
      <c r="A66" s="16" t="s">
        <v>92</v>
      </c>
      <c r="B66" s="42" t="s">
        <v>93</v>
      </c>
      <c r="C66" s="43">
        <f>(31878+12775.5+16941+19554+15802+18725.81+14954+4238)/1000</f>
        <v>134.86831000000001</v>
      </c>
      <c r="D66" s="38">
        <v>0</v>
      </c>
      <c r="E66" s="39">
        <v>0</v>
      </c>
      <c r="F66" s="39">
        <v>0</v>
      </c>
      <c r="G66" s="40">
        <v>35.51</v>
      </c>
      <c r="H66" s="43">
        <f t="shared" si="12"/>
        <v>35.51</v>
      </c>
      <c r="I66" s="38">
        <v>0</v>
      </c>
      <c r="J66" s="39">
        <v>15</v>
      </c>
      <c r="K66" s="39">
        <v>15</v>
      </c>
      <c r="L66" s="40">
        <v>25</v>
      </c>
      <c r="M66" s="22">
        <f t="shared" si="13"/>
        <v>55</v>
      </c>
      <c r="N66" s="38">
        <v>16</v>
      </c>
      <c r="O66" s="39">
        <v>15</v>
      </c>
      <c r="P66" s="39">
        <v>10</v>
      </c>
      <c r="Q66" s="21">
        <v>10</v>
      </c>
      <c r="R66" s="22">
        <f t="shared" si="14"/>
        <v>51</v>
      </c>
      <c r="S66" s="22">
        <f t="shared" si="15"/>
        <v>141.51</v>
      </c>
    </row>
    <row r="67" spans="1:19" ht="27" customHeight="1" x14ac:dyDescent="0.25">
      <c r="A67" s="16" t="s">
        <v>94</v>
      </c>
      <c r="B67" s="55" t="s">
        <v>560</v>
      </c>
      <c r="C67" s="43">
        <v>0</v>
      </c>
      <c r="D67" s="38">
        <v>0</v>
      </c>
      <c r="E67" s="39">
        <v>0</v>
      </c>
      <c r="F67" s="39">
        <v>0</v>
      </c>
      <c r="G67" s="40">
        <v>34.950000000000003</v>
      </c>
      <c r="H67" s="43">
        <f t="shared" si="12"/>
        <v>34.950000000000003</v>
      </c>
      <c r="I67" s="38">
        <v>0</v>
      </c>
      <c r="J67" s="39">
        <v>0</v>
      </c>
      <c r="K67" s="39">
        <v>0</v>
      </c>
      <c r="L67" s="40">
        <v>0</v>
      </c>
      <c r="M67" s="22">
        <f t="shared" si="13"/>
        <v>0</v>
      </c>
      <c r="N67" s="38">
        <v>0</v>
      </c>
      <c r="O67" s="39">
        <v>0</v>
      </c>
      <c r="P67" s="39">
        <v>0</v>
      </c>
      <c r="Q67" s="40">
        <v>0</v>
      </c>
      <c r="R67" s="22">
        <f t="shared" si="14"/>
        <v>0</v>
      </c>
      <c r="S67" s="22">
        <f t="shared" si="15"/>
        <v>34.950000000000003</v>
      </c>
    </row>
    <row r="68" spans="1:19" ht="27" customHeight="1" x14ac:dyDescent="0.25">
      <c r="A68" s="16" t="s">
        <v>95</v>
      </c>
      <c r="B68" s="55" t="s">
        <v>96</v>
      </c>
      <c r="C68" s="43">
        <v>17.998000000000001</v>
      </c>
      <c r="D68" s="38">
        <v>0</v>
      </c>
      <c r="E68" s="39">
        <v>0</v>
      </c>
      <c r="F68" s="39">
        <v>0</v>
      </c>
      <c r="G68" s="40">
        <v>0</v>
      </c>
      <c r="H68" s="43">
        <f t="shared" si="12"/>
        <v>0</v>
      </c>
      <c r="I68" s="38">
        <v>0</v>
      </c>
      <c r="J68" s="39">
        <v>0</v>
      </c>
      <c r="K68" s="39">
        <v>0</v>
      </c>
      <c r="L68" s="40">
        <v>0</v>
      </c>
      <c r="M68" s="22">
        <f t="shared" si="13"/>
        <v>0</v>
      </c>
      <c r="N68" s="38">
        <v>0</v>
      </c>
      <c r="O68" s="39">
        <v>0</v>
      </c>
      <c r="P68" s="39">
        <v>0</v>
      </c>
      <c r="Q68" s="40">
        <v>0</v>
      </c>
      <c r="R68" s="22">
        <f t="shared" si="14"/>
        <v>0</v>
      </c>
      <c r="S68" s="22">
        <f t="shared" si="15"/>
        <v>0</v>
      </c>
    </row>
    <row r="69" spans="1:19" ht="15" customHeight="1" x14ac:dyDescent="0.25">
      <c r="A69" s="16" t="s">
        <v>97</v>
      </c>
      <c r="B69" s="55" t="s">
        <v>98</v>
      </c>
      <c r="C69" s="43">
        <f>3950/1000</f>
        <v>3.95</v>
      </c>
      <c r="D69" s="38">
        <v>0</v>
      </c>
      <c r="E69" s="39">
        <v>0</v>
      </c>
      <c r="F69" s="39">
        <v>0</v>
      </c>
      <c r="G69" s="40">
        <v>0</v>
      </c>
      <c r="H69" s="43">
        <f t="shared" si="12"/>
        <v>0</v>
      </c>
      <c r="I69" s="38">
        <v>0</v>
      </c>
      <c r="J69" s="39">
        <v>0</v>
      </c>
      <c r="K69" s="39">
        <v>0</v>
      </c>
      <c r="L69" s="40">
        <v>0</v>
      </c>
      <c r="M69" s="22">
        <f t="shared" si="13"/>
        <v>0</v>
      </c>
      <c r="N69" s="38">
        <v>0</v>
      </c>
      <c r="O69" s="39">
        <v>0</v>
      </c>
      <c r="P69" s="39">
        <v>0</v>
      </c>
      <c r="Q69" s="40">
        <v>0</v>
      </c>
      <c r="R69" s="22">
        <f t="shared" si="14"/>
        <v>0</v>
      </c>
      <c r="S69" s="22">
        <f t="shared" si="15"/>
        <v>0</v>
      </c>
    </row>
    <row r="70" spans="1:19" ht="15" customHeight="1" x14ac:dyDescent="0.25">
      <c r="A70" s="16" t="s">
        <v>99</v>
      </c>
      <c r="B70" s="55" t="s">
        <v>100</v>
      </c>
      <c r="C70" s="43">
        <f>7827.69/1000</f>
        <v>7.8276899999999996</v>
      </c>
      <c r="D70" s="38">
        <v>0</v>
      </c>
      <c r="E70" s="39">
        <v>0</v>
      </c>
      <c r="F70" s="39">
        <v>0</v>
      </c>
      <c r="G70" s="40">
        <v>23.52</v>
      </c>
      <c r="H70" s="43">
        <f t="shared" si="12"/>
        <v>23.52</v>
      </c>
      <c r="I70" s="38">
        <v>0</v>
      </c>
      <c r="J70" s="39">
        <v>0</v>
      </c>
      <c r="K70" s="39">
        <v>0</v>
      </c>
      <c r="L70" s="40">
        <v>0</v>
      </c>
      <c r="M70" s="22">
        <f t="shared" si="13"/>
        <v>0</v>
      </c>
      <c r="N70" s="38">
        <v>0</v>
      </c>
      <c r="O70" s="39">
        <v>0</v>
      </c>
      <c r="P70" s="39">
        <v>0</v>
      </c>
      <c r="Q70" s="40">
        <v>0</v>
      </c>
      <c r="R70" s="22">
        <f t="shared" si="14"/>
        <v>0</v>
      </c>
      <c r="S70" s="22">
        <f t="shared" si="15"/>
        <v>23.52</v>
      </c>
    </row>
    <row r="71" spans="1:19" ht="15" customHeight="1" x14ac:dyDescent="0.25">
      <c r="A71" s="16" t="s">
        <v>101</v>
      </c>
      <c r="B71" s="55" t="s">
        <v>492</v>
      </c>
      <c r="C71" s="43">
        <f>9255/1000</f>
        <v>9.2550000000000008</v>
      </c>
      <c r="D71" s="38">
        <v>0</v>
      </c>
      <c r="E71" s="39">
        <v>0</v>
      </c>
      <c r="F71" s="39">
        <v>0</v>
      </c>
      <c r="G71" s="40">
        <v>0</v>
      </c>
      <c r="H71" s="43">
        <f t="shared" si="12"/>
        <v>0</v>
      </c>
      <c r="I71" s="38">
        <v>0</v>
      </c>
      <c r="J71" s="39">
        <v>0</v>
      </c>
      <c r="K71" s="39">
        <v>0</v>
      </c>
      <c r="L71" s="40">
        <v>0</v>
      </c>
      <c r="M71" s="22">
        <f t="shared" si="13"/>
        <v>0</v>
      </c>
      <c r="N71" s="38">
        <v>0</v>
      </c>
      <c r="O71" s="39">
        <v>0</v>
      </c>
      <c r="P71" s="39">
        <v>0</v>
      </c>
      <c r="Q71" s="40">
        <v>0</v>
      </c>
      <c r="R71" s="22">
        <f t="shared" si="14"/>
        <v>0</v>
      </c>
      <c r="S71" s="22">
        <f t="shared" si="15"/>
        <v>0</v>
      </c>
    </row>
    <row r="72" spans="1:19" ht="25.5" customHeight="1" x14ac:dyDescent="0.25">
      <c r="A72" s="16" t="s">
        <v>102</v>
      </c>
      <c r="B72" s="55" t="s">
        <v>343</v>
      </c>
      <c r="C72" s="43">
        <v>24.465</v>
      </c>
      <c r="D72" s="38">
        <v>0</v>
      </c>
      <c r="E72" s="39">
        <v>0</v>
      </c>
      <c r="F72" s="39">
        <v>0</v>
      </c>
      <c r="G72" s="40">
        <v>0</v>
      </c>
      <c r="H72" s="43">
        <f t="shared" si="12"/>
        <v>0</v>
      </c>
      <c r="I72" s="38">
        <v>0</v>
      </c>
      <c r="J72" s="39">
        <v>0</v>
      </c>
      <c r="K72" s="39">
        <v>0</v>
      </c>
      <c r="L72" s="40">
        <v>0</v>
      </c>
      <c r="M72" s="22">
        <f t="shared" si="13"/>
        <v>0</v>
      </c>
      <c r="N72" s="38">
        <v>0</v>
      </c>
      <c r="O72" s="39">
        <v>0</v>
      </c>
      <c r="P72" s="39">
        <v>0</v>
      </c>
      <c r="Q72" s="40">
        <v>0</v>
      </c>
      <c r="R72" s="22">
        <f t="shared" si="14"/>
        <v>0</v>
      </c>
      <c r="S72" s="22">
        <f t="shared" si="15"/>
        <v>0</v>
      </c>
    </row>
    <row r="73" spans="1:19" ht="25.5" customHeight="1" x14ac:dyDescent="0.25">
      <c r="A73" s="16" t="s">
        <v>103</v>
      </c>
      <c r="B73" s="55" t="s">
        <v>104</v>
      </c>
      <c r="C73" s="43">
        <f>11300/1000</f>
        <v>11.3</v>
      </c>
      <c r="D73" s="38">
        <v>0</v>
      </c>
      <c r="E73" s="39">
        <v>0</v>
      </c>
      <c r="F73" s="39">
        <v>0</v>
      </c>
      <c r="G73" s="40">
        <v>0</v>
      </c>
      <c r="H73" s="43">
        <f t="shared" si="12"/>
        <v>0</v>
      </c>
      <c r="I73" s="38">
        <v>0</v>
      </c>
      <c r="J73" s="39">
        <v>0</v>
      </c>
      <c r="K73" s="39">
        <v>0</v>
      </c>
      <c r="L73" s="40">
        <v>0</v>
      </c>
      <c r="M73" s="22">
        <f t="shared" si="13"/>
        <v>0</v>
      </c>
      <c r="N73" s="38">
        <v>0</v>
      </c>
      <c r="O73" s="39">
        <v>0</v>
      </c>
      <c r="P73" s="39">
        <v>0</v>
      </c>
      <c r="Q73" s="40">
        <v>0</v>
      </c>
      <c r="R73" s="22">
        <f t="shared" si="14"/>
        <v>0</v>
      </c>
      <c r="S73" s="22">
        <f t="shared" si="15"/>
        <v>0</v>
      </c>
    </row>
    <row r="74" spans="1:19" ht="27" customHeight="1" x14ac:dyDescent="0.25">
      <c r="A74" s="16" t="s">
        <v>105</v>
      </c>
      <c r="B74" s="55" t="s">
        <v>106</v>
      </c>
      <c r="C74" s="43">
        <f>12038.4/1000</f>
        <v>12.038399999999999</v>
      </c>
      <c r="D74" s="38">
        <v>0</v>
      </c>
      <c r="E74" s="39">
        <v>0</v>
      </c>
      <c r="F74" s="39">
        <v>0</v>
      </c>
      <c r="G74" s="40">
        <v>0</v>
      </c>
      <c r="H74" s="43">
        <f t="shared" si="12"/>
        <v>0</v>
      </c>
      <c r="I74" s="38">
        <v>0</v>
      </c>
      <c r="J74" s="39">
        <v>0</v>
      </c>
      <c r="K74" s="39">
        <v>0</v>
      </c>
      <c r="L74" s="40">
        <v>0</v>
      </c>
      <c r="M74" s="22">
        <f t="shared" si="13"/>
        <v>0</v>
      </c>
      <c r="N74" s="38">
        <v>0</v>
      </c>
      <c r="O74" s="39">
        <v>0</v>
      </c>
      <c r="P74" s="39">
        <v>0</v>
      </c>
      <c r="Q74" s="40">
        <v>0</v>
      </c>
      <c r="R74" s="22">
        <f t="shared" si="14"/>
        <v>0</v>
      </c>
      <c r="S74" s="22">
        <f t="shared" si="15"/>
        <v>0</v>
      </c>
    </row>
    <row r="75" spans="1:19" ht="27" customHeight="1" x14ac:dyDescent="0.25">
      <c r="A75" s="16" t="s">
        <v>107</v>
      </c>
      <c r="B75" s="55" t="s">
        <v>108</v>
      </c>
      <c r="C75" s="43">
        <f>3016.69/1000</f>
        <v>3.0166900000000001</v>
      </c>
      <c r="D75" s="38">
        <v>0</v>
      </c>
      <c r="E75" s="39">
        <v>0</v>
      </c>
      <c r="F75" s="39">
        <v>0</v>
      </c>
      <c r="G75" s="40">
        <v>0</v>
      </c>
      <c r="H75" s="43">
        <f t="shared" si="12"/>
        <v>0</v>
      </c>
      <c r="I75" s="38">
        <v>0</v>
      </c>
      <c r="J75" s="39">
        <v>0</v>
      </c>
      <c r="K75" s="39">
        <v>0</v>
      </c>
      <c r="L75" s="40">
        <v>0</v>
      </c>
      <c r="M75" s="22">
        <f t="shared" si="13"/>
        <v>0</v>
      </c>
      <c r="N75" s="38">
        <v>0</v>
      </c>
      <c r="O75" s="39">
        <v>0</v>
      </c>
      <c r="P75" s="39">
        <v>0</v>
      </c>
      <c r="Q75" s="21">
        <v>0</v>
      </c>
      <c r="R75" s="22">
        <f t="shared" si="14"/>
        <v>0</v>
      </c>
      <c r="S75" s="22">
        <f t="shared" si="15"/>
        <v>0</v>
      </c>
    </row>
    <row r="76" spans="1:19" ht="26.25" customHeight="1" x14ac:dyDescent="0.25">
      <c r="A76" s="16" t="s">
        <v>109</v>
      </c>
      <c r="B76" s="55" t="s">
        <v>576</v>
      </c>
      <c r="C76" s="43">
        <v>0</v>
      </c>
      <c r="D76" s="38">
        <v>0</v>
      </c>
      <c r="E76" s="39">
        <v>0</v>
      </c>
      <c r="F76" s="39">
        <v>0</v>
      </c>
      <c r="G76" s="40">
        <v>1.56</v>
      </c>
      <c r="H76" s="43">
        <f t="shared" si="12"/>
        <v>1.56</v>
      </c>
      <c r="I76" s="38">
        <v>0</v>
      </c>
      <c r="J76" s="39">
        <v>8.6</v>
      </c>
      <c r="K76" s="39">
        <v>20</v>
      </c>
      <c r="L76" s="40">
        <v>20</v>
      </c>
      <c r="M76" s="22">
        <f t="shared" si="13"/>
        <v>48.6</v>
      </c>
      <c r="N76" s="38">
        <v>0</v>
      </c>
      <c r="O76" s="39">
        <v>0</v>
      </c>
      <c r="P76" s="39">
        <v>0</v>
      </c>
      <c r="Q76" s="21">
        <v>0</v>
      </c>
      <c r="R76" s="22">
        <f t="shared" si="14"/>
        <v>0</v>
      </c>
      <c r="S76" s="22">
        <f t="shared" si="15"/>
        <v>50.160000000000004</v>
      </c>
    </row>
    <row r="77" spans="1:19" ht="26.25" customHeight="1" x14ac:dyDescent="0.25">
      <c r="A77" s="16" t="s">
        <v>110</v>
      </c>
      <c r="B77" s="55" t="s">
        <v>111</v>
      </c>
      <c r="C77" s="43">
        <f>2600/1000</f>
        <v>2.6</v>
      </c>
      <c r="D77" s="38">
        <v>0</v>
      </c>
      <c r="E77" s="39">
        <v>0</v>
      </c>
      <c r="F77" s="39">
        <v>0</v>
      </c>
      <c r="G77" s="40">
        <v>0</v>
      </c>
      <c r="H77" s="43">
        <f t="shared" si="12"/>
        <v>0</v>
      </c>
      <c r="I77" s="38">
        <v>0</v>
      </c>
      <c r="J77" s="39">
        <v>5.05</v>
      </c>
      <c r="K77" s="39">
        <v>10</v>
      </c>
      <c r="L77" s="40">
        <v>21.04</v>
      </c>
      <c r="M77" s="22">
        <f t="shared" si="13"/>
        <v>36.090000000000003</v>
      </c>
      <c r="N77" s="38">
        <v>0</v>
      </c>
      <c r="O77" s="39">
        <v>0</v>
      </c>
      <c r="P77" s="39">
        <v>0</v>
      </c>
      <c r="Q77" s="21">
        <v>0</v>
      </c>
      <c r="R77" s="22">
        <f t="shared" si="14"/>
        <v>0</v>
      </c>
      <c r="S77" s="22">
        <f t="shared" si="15"/>
        <v>36.090000000000003</v>
      </c>
    </row>
    <row r="78" spans="1:19" ht="15" customHeight="1" x14ac:dyDescent="0.25">
      <c r="A78" s="16" t="s">
        <v>112</v>
      </c>
      <c r="B78" s="55" t="s">
        <v>113</v>
      </c>
      <c r="C78" s="43">
        <f>14140.48/1000</f>
        <v>14.14048</v>
      </c>
      <c r="D78" s="38">
        <v>0</v>
      </c>
      <c r="E78" s="39">
        <v>0</v>
      </c>
      <c r="F78" s="39">
        <v>20.309999999999999</v>
      </c>
      <c r="G78" s="40">
        <v>0</v>
      </c>
      <c r="H78" s="43">
        <f t="shared" si="12"/>
        <v>20.309999999999999</v>
      </c>
      <c r="I78" s="38">
        <v>0</v>
      </c>
      <c r="J78" s="39">
        <v>0</v>
      </c>
      <c r="K78" s="39">
        <v>0</v>
      </c>
      <c r="L78" s="40">
        <v>0</v>
      </c>
      <c r="M78" s="22">
        <f t="shared" si="13"/>
        <v>0</v>
      </c>
      <c r="N78" s="38">
        <v>0</v>
      </c>
      <c r="O78" s="39">
        <v>0</v>
      </c>
      <c r="P78" s="39">
        <v>0</v>
      </c>
      <c r="Q78" s="21">
        <v>0</v>
      </c>
      <c r="R78" s="22">
        <f t="shared" si="14"/>
        <v>0</v>
      </c>
      <c r="S78" s="22">
        <f t="shared" si="15"/>
        <v>20.309999999999999</v>
      </c>
    </row>
    <row r="79" spans="1:19" ht="27" customHeight="1" x14ac:dyDescent="0.25">
      <c r="A79" s="16" t="s">
        <v>114</v>
      </c>
      <c r="B79" s="55" t="s">
        <v>531</v>
      </c>
      <c r="C79" s="43">
        <f>8076.12/1000</f>
        <v>8.0761199999999995</v>
      </c>
      <c r="D79" s="38">
        <v>0</v>
      </c>
      <c r="E79" s="39">
        <v>0</v>
      </c>
      <c r="F79" s="39">
        <v>0</v>
      </c>
      <c r="G79" s="40">
        <v>0</v>
      </c>
      <c r="H79" s="43">
        <f t="shared" si="12"/>
        <v>0</v>
      </c>
      <c r="I79" s="38">
        <v>0</v>
      </c>
      <c r="J79" s="39">
        <v>0</v>
      </c>
      <c r="K79" s="39">
        <v>0</v>
      </c>
      <c r="L79" s="40">
        <v>0</v>
      </c>
      <c r="M79" s="22">
        <f t="shared" si="13"/>
        <v>0</v>
      </c>
      <c r="N79" s="38">
        <v>0</v>
      </c>
      <c r="O79" s="39">
        <v>0</v>
      </c>
      <c r="P79" s="39">
        <v>0</v>
      </c>
      <c r="Q79" s="21">
        <v>0</v>
      </c>
      <c r="R79" s="22">
        <f t="shared" si="14"/>
        <v>0</v>
      </c>
      <c r="S79" s="22">
        <f t="shared" si="15"/>
        <v>0</v>
      </c>
    </row>
    <row r="80" spans="1:19" ht="15" customHeight="1" x14ac:dyDescent="0.25">
      <c r="A80" s="16" t="s">
        <v>115</v>
      </c>
      <c r="B80" s="55" t="s">
        <v>524</v>
      </c>
      <c r="C80" s="43">
        <v>0</v>
      </c>
      <c r="D80" s="38">
        <v>0</v>
      </c>
      <c r="E80" s="39">
        <v>0</v>
      </c>
      <c r="F80" s="39">
        <v>0</v>
      </c>
      <c r="G80" s="40">
        <v>0</v>
      </c>
      <c r="H80" s="43">
        <f t="shared" ref="H80:H107" si="16">SUM(D80:G80)</f>
        <v>0</v>
      </c>
      <c r="I80" s="38">
        <v>0</v>
      </c>
      <c r="J80" s="39">
        <v>0</v>
      </c>
      <c r="K80" s="39">
        <v>0</v>
      </c>
      <c r="L80" s="40">
        <v>0</v>
      </c>
      <c r="M80" s="22">
        <f t="shared" ref="M80:M107" si="17">SUM(I80:L80)</f>
        <v>0</v>
      </c>
      <c r="N80" s="38">
        <v>0</v>
      </c>
      <c r="O80" s="39">
        <v>0</v>
      </c>
      <c r="P80" s="39">
        <v>30</v>
      </c>
      <c r="Q80" s="21">
        <v>30</v>
      </c>
      <c r="R80" s="22">
        <f t="shared" ref="R80:R107" si="18">SUM(N80:Q80)</f>
        <v>60</v>
      </c>
      <c r="S80" s="22">
        <f t="shared" si="15"/>
        <v>60</v>
      </c>
    </row>
    <row r="81" spans="1:19" ht="26.25" customHeight="1" x14ac:dyDescent="0.25">
      <c r="A81" s="16" t="s">
        <v>116</v>
      </c>
      <c r="B81" s="41" t="s">
        <v>117</v>
      </c>
      <c r="C81" s="43">
        <v>0</v>
      </c>
      <c r="D81" s="38">
        <v>0</v>
      </c>
      <c r="E81" s="39">
        <v>0</v>
      </c>
      <c r="F81" s="39">
        <v>0</v>
      </c>
      <c r="G81" s="40">
        <v>0</v>
      </c>
      <c r="H81" s="43">
        <f t="shared" si="16"/>
        <v>0</v>
      </c>
      <c r="I81" s="38">
        <v>3</v>
      </c>
      <c r="J81" s="39">
        <v>3</v>
      </c>
      <c r="K81" s="39">
        <v>3</v>
      </c>
      <c r="L81" s="40">
        <v>5</v>
      </c>
      <c r="M81" s="22">
        <f t="shared" si="17"/>
        <v>14</v>
      </c>
      <c r="N81" s="38">
        <v>11.2</v>
      </c>
      <c r="O81" s="39">
        <v>10</v>
      </c>
      <c r="P81" s="39">
        <v>10</v>
      </c>
      <c r="Q81" s="21">
        <v>0</v>
      </c>
      <c r="R81" s="22">
        <f t="shared" si="18"/>
        <v>31.2</v>
      </c>
      <c r="S81" s="22">
        <f t="shared" si="15"/>
        <v>45.2</v>
      </c>
    </row>
    <row r="82" spans="1:19" ht="27" customHeight="1" x14ac:dyDescent="0.25">
      <c r="A82" s="16" t="s">
        <v>118</v>
      </c>
      <c r="B82" s="55" t="s">
        <v>119</v>
      </c>
      <c r="C82" s="43">
        <v>0</v>
      </c>
      <c r="D82" s="38">
        <v>0</v>
      </c>
      <c r="E82" s="39">
        <v>0</v>
      </c>
      <c r="F82" s="39">
        <v>0</v>
      </c>
      <c r="G82" s="40">
        <v>0</v>
      </c>
      <c r="H82" s="43">
        <f t="shared" si="16"/>
        <v>0</v>
      </c>
      <c r="I82" s="38">
        <v>0</v>
      </c>
      <c r="J82" s="39">
        <v>0</v>
      </c>
      <c r="K82" s="39">
        <v>0</v>
      </c>
      <c r="L82" s="40">
        <v>20</v>
      </c>
      <c r="M82" s="22">
        <f t="shared" si="17"/>
        <v>20</v>
      </c>
      <c r="N82" s="38">
        <v>0</v>
      </c>
      <c r="O82" s="39">
        <v>0</v>
      </c>
      <c r="P82" s="39">
        <v>0</v>
      </c>
      <c r="Q82" s="21">
        <v>0</v>
      </c>
      <c r="R82" s="22">
        <f t="shared" si="18"/>
        <v>0</v>
      </c>
      <c r="S82" s="22">
        <f t="shared" si="15"/>
        <v>20</v>
      </c>
    </row>
    <row r="83" spans="1:19" ht="15" customHeight="1" x14ac:dyDescent="0.25">
      <c r="A83" s="16" t="s">
        <v>120</v>
      </c>
      <c r="B83" s="55" t="s">
        <v>121</v>
      </c>
      <c r="C83" s="43">
        <f>39779.27/1000</f>
        <v>39.779269999999997</v>
      </c>
      <c r="D83" s="38">
        <v>0</v>
      </c>
      <c r="E83" s="39">
        <v>0</v>
      </c>
      <c r="F83" s="39">
        <v>0</v>
      </c>
      <c r="G83" s="40">
        <v>0</v>
      </c>
      <c r="H83" s="43">
        <f t="shared" si="16"/>
        <v>0</v>
      </c>
      <c r="I83" s="38">
        <v>0</v>
      </c>
      <c r="J83" s="39">
        <v>0</v>
      </c>
      <c r="K83" s="39">
        <v>0</v>
      </c>
      <c r="L83" s="40">
        <v>0</v>
      </c>
      <c r="M83" s="22">
        <f t="shared" si="17"/>
        <v>0</v>
      </c>
      <c r="N83" s="38">
        <v>0</v>
      </c>
      <c r="O83" s="39">
        <v>0</v>
      </c>
      <c r="P83" s="39">
        <v>0</v>
      </c>
      <c r="Q83" s="21">
        <v>0</v>
      </c>
      <c r="R83" s="22">
        <f t="shared" si="18"/>
        <v>0</v>
      </c>
      <c r="S83" s="22">
        <f t="shared" si="15"/>
        <v>0</v>
      </c>
    </row>
    <row r="84" spans="1:19" ht="15" customHeight="1" x14ac:dyDescent="0.25">
      <c r="A84" s="16" t="s">
        <v>122</v>
      </c>
      <c r="B84" s="41" t="s">
        <v>538</v>
      </c>
      <c r="C84" s="43">
        <v>0</v>
      </c>
      <c r="D84" s="38">
        <v>0</v>
      </c>
      <c r="E84" s="39">
        <v>0</v>
      </c>
      <c r="F84" s="39">
        <v>0</v>
      </c>
      <c r="G84" s="40">
        <v>0</v>
      </c>
      <c r="H84" s="43">
        <f t="shared" si="16"/>
        <v>0</v>
      </c>
      <c r="I84" s="38">
        <v>0</v>
      </c>
      <c r="J84" s="39">
        <v>5</v>
      </c>
      <c r="K84" s="39">
        <v>10</v>
      </c>
      <c r="L84" s="40">
        <v>3.4</v>
      </c>
      <c r="M84" s="22">
        <f t="shared" si="17"/>
        <v>18.399999999999999</v>
      </c>
      <c r="N84" s="38">
        <v>0</v>
      </c>
      <c r="O84" s="39">
        <v>0</v>
      </c>
      <c r="P84" s="39">
        <v>0</v>
      </c>
      <c r="Q84" s="21">
        <v>0</v>
      </c>
      <c r="R84" s="22">
        <f t="shared" si="18"/>
        <v>0</v>
      </c>
      <c r="S84" s="22">
        <f t="shared" si="15"/>
        <v>18.399999999999999</v>
      </c>
    </row>
    <row r="85" spans="1:19" ht="15" customHeight="1" x14ac:dyDescent="0.25">
      <c r="A85" s="16" t="s">
        <v>123</v>
      </c>
      <c r="B85" s="41" t="s">
        <v>537</v>
      </c>
      <c r="C85" s="43">
        <v>0</v>
      </c>
      <c r="D85" s="38">
        <v>0</v>
      </c>
      <c r="E85" s="39">
        <v>0</v>
      </c>
      <c r="F85" s="39">
        <v>0</v>
      </c>
      <c r="G85" s="40">
        <v>0</v>
      </c>
      <c r="H85" s="43">
        <f t="shared" si="16"/>
        <v>0</v>
      </c>
      <c r="I85" s="38">
        <v>0</v>
      </c>
      <c r="J85" s="39">
        <v>0</v>
      </c>
      <c r="K85" s="39">
        <v>0</v>
      </c>
      <c r="L85" s="40">
        <v>0</v>
      </c>
      <c r="M85" s="22">
        <f t="shared" si="17"/>
        <v>0</v>
      </c>
      <c r="N85" s="38">
        <v>0</v>
      </c>
      <c r="O85" s="39">
        <v>10</v>
      </c>
      <c r="P85" s="39">
        <v>15</v>
      </c>
      <c r="Q85" s="21">
        <v>0</v>
      </c>
      <c r="R85" s="22">
        <f t="shared" si="18"/>
        <v>25</v>
      </c>
      <c r="S85" s="22">
        <f t="shared" si="15"/>
        <v>25</v>
      </c>
    </row>
    <row r="86" spans="1:19" ht="15" customHeight="1" x14ac:dyDescent="0.25">
      <c r="A86" s="16" t="s">
        <v>125</v>
      </c>
      <c r="B86" s="41" t="s">
        <v>551</v>
      </c>
      <c r="C86" s="43">
        <v>0</v>
      </c>
      <c r="D86" s="38">
        <v>0</v>
      </c>
      <c r="E86" s="39">
        <v>0</v>
      </c>
      <c r="F86" s="39">
        <v>0</v>
      </c>
      <c r="G86" s="40">
        <v>0</v>
      </c>
      <c r="H86" s="43">
        <f t="shared" si="16"/>
        <v>0</v>
      </c>
      <c r="I86" s="38">
        <v>0</v>
      </c>
      <c r="J86" s="39">
        <v>0</v>
      </c>
      <c r="K86" s="39">
        <v>15.99</v>
      </c>
      <c r="L86" s="40">
        <v>16</v>
      </c>
      <c r="M86" s="22">
        <f t="shared" si="17"/>
        <v>31.990000000000002</v>
      </c>
      <c r="N86" s="38">
        <v>0</v>
      </c>
      <c r="O86" s="39">
        <v>0</v>
      </c>
      <c r="P86" s="39">
        <v>0</v>
      </c>
      <c r="Q86" s="21">
        <v>0</v>
      </c>
      <c r="R86" s="22">
        <f t="shared" si="18"/>
        <v>0</v>
      </c>
      <c r="S86" s="22">
        <f t="shared" si="15"/>
        <v>31.990000000000002</v>
      </c>
    </row>
    <row r="87" spans="1:19" ht="26.25" customHeight="1" x14ac:dyDescent="0.25">
      <c r="A87" s="16" t="s">
        <v>126</v>
      </c>
      <c r="B87" s="41" t="s">
        <v>127</v>
      </c>
      <c r="C87" s="43">
        <v>6.8109999999999999</v>
      </c>
      <c r="D87" s="38">
        <v>0</v>
      </c>
      <c r="E87" s="39">
        <v>0</v>
      </c>
      <c r="F87" s="39">
        <v>0</v>
      </c>
      <c r="G87" s="40">
        <v>0</v>
      </c>
      <c r="H87" s="43">
        <f t="shared" si="16"/>
        <v>0</v>
      </c>
      <c r="I87" s="38">
        <v>0</v>
      </c>
      <c r="J87" s="39">
        <v>0</v>
      </c>
      <c r="K87" s="39">
        <v>0</v>
      </c>
      <c r="L87" s="40">
        <v>0</v>
      </c>
      <c r="M87" s="22">
        <f t="shared" si="17"/>
        <v>0</v>
      </c>
      <c r="N87" s="38">
        <v>0</v>
      </c>
      <c r="O87" s="39">
        <v>0</v>
      </c>
      <c r="P87" s="39">
        <v>0</v>
      </c>
      <c r="Q87" s="21">
        <v>0</v>
      </c>
      <c r="R87" s="22">
        <f t="shared" si="18"/>
        <v>0</v>
      </c>
      <c r="S87" s="22">
        <f t="shared" si="15"/>
        <v>0</v>
      </c>
    </row>
    <row r="88" spans="1:19" ht="39" customHeight="1" x14ac:dyDescent="0.25">
      <c r="A88" s="16" t="s">
        <v>128</v>
      </c>
      <c r="B88" s="41" t="s">
        <v>129</v>
      </c>
      <c r="C88" s="43">
        <v>5</v>
      </c>
      <c r="D88" s="38">
        <v>0</v>
      </c>
      <c r="E88" s="39">
        <v>0</v>
      </c>
      <c r="F88" s="39">
        <v>0</v>
      </c>
      <c r="G88" s="40">
        <v>0</v>
      </c>
      <c r="H88" s="43">
        <f t="shared" si="16"/>
        <v>0</v>
      </c>
      <c r="I88" s="38">
        <v>0</v>
      </c>
      <c r="J88" s="39">
        <v>0</v>
      </c>
      <c r="K88" s="39">
        <v>0</v>
      </c>
      <c r="L88" s="40">
        <v>0</v>
      </c>
      <c r="M88" s="22">
        <f t="shared" si="17"/>
        <v>0</v>
      </c>
      <c r="N88" s="38">
        <v>0</v>
      </c>
      <c r="O88" s="39">
        <v>0</v>
      </c>
      <c r="P88" s="39">
        <v>0</v>
      </c>
      <c r="Q88" s="21">
        <v>0</v>
      </c>
      <c r="R88" s="22">
        <f t="shared" si="18"/>
        <v>0</v>
      </c>
      <c r="S88" s="22">
        <f t="shared" si="15"/>
        <v>0</v>
      </c>
    </row>
    <row r="89" spans="1:19" ht="15" customHeight="1" x14ac:dyDescent="0.25">
      <c r="A89" s="16" t="s">
        <v>130</v>
      </c>
      <c r="B89" s="60" t="s">
        <v>131</v>
      </c>
      <c r="C89" s="37">
        <v>1.085</v>
      </c>
      <c r="D89" s="38">
        <v>0</v>
      </c>
      <c r="E89" s="39">
        <v>0</v>
      </c>
      <c r="F89" s="39">
        <v>0</v>
      </c>
      <c r="G89" s="47">
        <v>0</v>
      </c>
      <c r="H89" s="43">
        <f t="shared" si="16"/>
        <v>0</v>
      </c>
      <c r="I89" s="38">
        <v>0</v>
      </c>
      <c r="J89" s="39">
        <v>0</v>
      </c>
      <c r="K89" s="39">
        <v>0</v>
      </c>
      <c r="L89" s="40">
        <v>0</v>
      </c>
      <c r="M89" s="22">
        <f t="shared" si="17"/>
        <v>0</v>
      </c>
      <c r="N89" s="38">
        <v>0</v>
      </c>
      <c r="O89" s="39">
        <v>0</v>
      </c>
      <c r="P89" s="39">
        <v>0</v>
      </c>
      <c r="Q89" s="21">
        <v>0</v>
      </c>
      <c r="R89" s="22">
        <f t="shared" si="18"/>
        <v>0</v>
      </c>
      <c r="S89" s="22">
        <f t="shared" si="15"/>
        <v>0</v>
      </c>
    </row>
    <row r="90" spans="1:19" ht="15" customHeight="1" x14ac:dyDescent="0.25">
      <c r="A90" s="16" t="s">
        <v>132</v>
      </c>
      <c r="B90" s="60" t="s">
        <v>133</v>
      </c>
      <c r="C90" s="37">
        <v>0</v>
      </c>
      <c r="D90" s="38">
        <v>0</v>
      </c>
      <c r="E90" s="39">
        <v>0</v>
      </c>
      <c r="F90" s="39">
        <v>0</v>
      </c>
      <c r="G90" s="47">
        <v>0</v>
      </c>
      <c r="H90" s="43">
        <f t="shared" si="16"/>
        <v>0</v>
      </c>
      <c r="I90" s="38">
        <v>0</v>
      </c>
      <c r="J90" s="39">
        <v>1.1000000000000001</v>
      </c>
      <c r="K90" s="39">
        <v>5</v>
      </c>
      <c r="L90" s="40">
        <v>8.9</v>
      </c>
      <c r="M90" s="22">
        <f t="shared" si="17"/>
        <v>15</v>
      </c>
      <c r="N90" s="38">
        <v>0</v>
      </c>
      <c r="O90" s="39">
        <v>0</v>
      </c>
      <c r="P90" s="39">
        <v>0</v>
      </c>
      <c r="Q90" s="21">
        <v>0</v>
      </c>
      <c r="R90" s="22">
        <f t="shared" si="18"/>
        <v>0</v>
      </c>
      <c r="S90" s="22">
        <f t="shared" si="15"/>
        <v>15</v>
      </c>
    </row>
    <row r="91" spans="1:19" ht="15" customHeight="1" x14ac:dyDescent="0.25">
      <c r="A91" s="16" t="s">
        <v>134</v>
      </c>
      <c r="B91" s="60" t="s">
        <v>493</v>
      </c>
      <c r="C91" s="37">
        <v>0</v>
      </c>
      <c r="D91" s="38">
        <v>0</v>
      </c>
      <c r="E91" s="39">
        <v>0</v>
      </c>
      <c r="F91" s="39">
        <v>0</v>
      </c>
      <c r="G91" s="47">
        <v>0</v>
      </c>
      <c r="H91" s="43">
        <f t="shared" si="16"/>
        <v>0</v>
      </c>
      <c r="I91" s="38">
        <v>0</v>
      </c>
      <c r="J91" s="39">
        <v>0</v>
      </c>
      <c r="K91" s="39">
        <v>3</v>
      </c>
      <c r="L91" s="40">
        <v>6.19</v>
      </c>
      <c r="M91" s="22">
        <f t="shared" si="17"/>
        <v>9.1900000000000013</v>
      </c>
      <c r="N91" s="38">
        <v>0</v>
      </c>
      <c r="O91" s="39">
        <v>0</v>
      </c>
      <c r="P91" s="39">
        <v>0</v>
      </c>
      <c r="Q91" s="21">
        <v>0</v>
      </c>
      <c r="R91" s="22">
        <f t="shared" si="18"/>
        <v>0</v>
      </c>
      <c r="S91" s="22">
        <f t="shared" si="15"/>
        <v>9.1900000000000013</v>
      </c>
    </row>
    <row r="92" spans="1:19" ht="15" customHeight="1" x14ac:dyDescent="0.25">
      <c r="A92" s="16" t="s">
        <v>135</v>
      </c>
      <c r="B92" s="60" t="s">
        <v>494</v>
      </c>
      <c r="C92" s="37">
        <v>0</v>
      </c>
      <c r="D92" s="38">
        <v>0</v>
      </c>
      <c r="E92" s="39">
        <v>0</v>
      </c>
      <c r="F92" s="39">
        <v>0</v>
      </c>
      <c r="G92" s="47">
        <v>0</v>
      </c>
      <c r="H92" s="43">
        <f t="shared" si="16"/>
        <v>0</v>
      </c>
      <c r="I92" s="38">
        <v>0</v>
      </c>
      <c r="J92" s="39">
        <v>0</v>
      </c>
      <c r="K92" s="39">
        <v>5</v>
      </c>
      <c r="L92" s="40">
        <v>6.43</v>
      </c>
      <c r="M92" s="22">
        <f t="shared" si="17"/>
        <v>11.43</v>
      </c>
      <c r="N92" s="38">
        <v>0</v>
      </c>
      <c r="O92" s="39">
        <v>0</v>
      </c>
      <c r="P92" s="39">
        <v>0</v>
      </c>
      <c r="Q92" s="21">
        <v>0</v>
      </c>
      <c r="R92" s="22">
        <f t="shared" si="18"/>
        <v>0</v>
      </c>
      <c r="S92" s="22">
        <f t="shared" si="15"/>
        <v>11.43</v>
      </c>
    </row>
    <row r="93" spans="1:19" ht="15" customHeight="1" x14ac:dyDescent="0.25">
      <c r="A93" s="16" t="s">
        <v>136</v>
      </c>
      <c r="B93" s="60" t="s">
        <v>495</v>
      </c>
      <c r="C93" s="37">
        <v>0</v>
      </c>
      <c r="D93" s="38">
        <v>0</v>
      </c>
      <c r="E93" s="39">
        <v>0</v>
      </c>
      <c r="F93" s="39">
        <v>0</v>
      </c>
      <c r="G93" s="47">
        <v>0</v>
      </c>
      <c r="H93" s="43">
        <f t="shared" si="16"/>
        <v>0</v>
      </c>
      <c r="I93" s="38">
        <v>0</v>
      </c>
      <c r="J93" s="39">
        <v>0</v>
      </c>
      <c r="K93" s="39">
        <v>2</v>
      </c>
      <c r="L93" s="40">
        <v>2.5499999999999998</v>
      </c>
      <c r="M93" s="22">
        <f t="shared" si="17"/>
        <v>4.55</v>
      </c>
      <c r="N93" s="38">
        <v>0</v>
      </c>
      <c r="O93" s="39">
        <v>0</v>
      </c>
      <c r="P93" s="39">
        <v>0</v>
      </c>
      <c r="Q93" s="21">
        <v>0</v>
      </c>
      <c r="R93" s="22">
        <f t="shared" si="18"/>
        <v>0</v>
      </c>
      <c r="S93" s="22">
        <f t="shared" si="15"/>
        <v>4.55</v>
      </c>
    </row>
    <row r="94" spans="1:19" ht="15" customHeight="1" x14ac:dyDescent="0.25">
      <c r="A94" s="16" t="s">
        <v>137</v>
      </c>
      <c r="B94" s="60" t="s">
        <v>138</v>
      </c>
      <c r="C94" s="37">
        <v>0</v>
      </c>
      <c r="D94" s="38">
        <v>0</v>
      </c>
      <c r="E94" s="39">
        <v>0</v>
      </c>
      <c r="F94" s="39">
        <v>0</v>
      </c>
      <c r="G94" s="47">
        <v>0</v>
      </c>
      <c r="H94" s="43">
        <f t="shared" si="16"/>
        <v>0</v>
      </c>
      <c r="I94" s="38">
        <v>0</v>
      </c>
      <c r="J94" s="39">
        <v>0</v>
      </c>
      <c r="K94" s="39">
        <v>0</v>
      </c>
      <c r="L94" s="40">
        <v>0</v>
      </c>
      <c r="M94" s="22">
        <f t="shared" si="17"/>
        <v>0</v>
      </c>
      <c r="N94" s="38">
        <v>5</v>
      </c>
      <c r="O94" s="39">
        <v>5</v>
      </c>
      <c r="P94" s="39">
        <v>5</v>
      </c>
      <c r="Q94" s="21">
        <v>21.7</v>
      </c>
      <c r="R94" s="22">
        <f t="shared" si="18"/>
        <v>36.700000000000003</v>
      </c>
      <c r="S94" s="22">
        <f t="shared" si="15"/>
        <v>36.700000000000003</v>
      </c>
    </row>
    <row r="95" spans="1:19" ht="27" customHeight="1" x14ac:dyDescent="0.25">
      <c r="A95" s="16" t="s">
        <v>139</v>
      </c>
      <c r="B95" s="60" t="s">
        <v>496</v>
      </c>
      <c r="C95" s="37">
        <v>0</v>
      </c>
      <c r="D95" s="38">
        <v>0</v>
      </c>
      <c r="E95" s="39">
        <v>0</v>
      </c>
      <c r="F95" s="39">
        <v>0</v>
      </c>
      <c r="G95" s="47">
        <v>0</v>
      </c>
      <c r="H95" s="43">
        <f t="shared" si="16"/>
        <v>0</v>
      </c>
      <c r="I95" s="38">
        <v>0</v>
      </c>
      <c r="J95" s="39">
        <v>0</v>
      </c>
      <c r="K95" s="39">
        <v>0</v>
      </c>
      <c r="L95" s="40">
        <v>0</v>
      </c>
      <c r="M95" s="22">
        <f t="shared" si="17"/>
        <v>0</v>
      </c>
      <c r="N95" s="38">
        <v>1</v>
      </c>
      <c r="O95" s="39">
        <v>1</v>
      </c>
      <c r="P95" s="39">
        <v>1</v>
      </c>
      <c r="Q95" s="21">
        <v>1.7</v>
      </c>
      <c r="R95" s="22">
        <f t="shared" si="18"/>
        <v>4.7</v>
      </c>
      <c r="S95" s="22">
        <f t="shared" si="15"/>
        <v>4.7</v>
      </c>
    </row>
    <row r="96" spans="1:19" ht="27" customHeight="1" x14ac:dyDescent="0.25">
      <c r="A96" s="16" t="s">
        <v>140</v>
      </c>
      <c r="B96" s="60" t="s">
        <v>141</v>
      </c>
      <c r="C96" s="37">
        <v>0</v>
      </c>
      <c r="D96" s="38">
        <v>0</v>
      </c>
      <c r="E96" s="39">
        <v>0</v>
      </c>
      <c r="F96" s="39">
        <v>0</v>
      </c>
      <c r="G96" s="47">
        <v>0</v>
      </c>
      <c r="H96" s="43">
        <f t="shared" si="16"/>
        <v>0</v>
      </c>
      <c r="I96" s="38">
        <v>0</v>
      </c>
      <c r="J96" s="39">
        <v>0</v>
      </c>
      <c r="K96" s="39">
        <v>0</v>
      </c>
      <c r="L96" s="40">
        <v>0</v>
      </c>
      <c r="M96" s="22">
        <f t="shared" si="17"/>
        <v>0</v>
      </c>
      <c r="N96" s="38">
        <v>10</v>
      </c>
      <c r="O96" s="39">
        <v>10</v>
      </c>
      <c r="P96" s="39">
        <v>10</v>
      </c>
      <c r="Q96" s="21">
        <v>16.899999999999999</v>
      </c>
      <c r="R96" s="22">
        <f t="shared" si="18"/>
        <v>46.9</v>
      </c>
      <c r="S96" s="22">
        <f t="shared" si="15"/>
        <v>46.9</v>
      </c>
    </row>
    <row r="97" spans="1:19" ht="15" customHeight="1" x14ac:dyDescent="0.25">
      <c r="A97" s="16" t="s">
        <v>142</v>
      </c>
      <c r="B97" s="60" t="s">
        <v>497</v>
      </c>
      <c r="C97" s="37">
        <v>0</v>
      </c>
      <c r="D97" s="38">
        <v>0</v>
      </c>
      <c r="E97" s="39">
        <v>0</v>
      </c>
      <c r="F97" s="39">
        <v>0</v>
      </c>
      <c r="G97" s="47">
        <v>0</v>
      </c>
      <c r="H97" s="43">
        <f t="shared" si="16"/>
        <v>0</v>
      </c>
      <c r="I97" s="38">
        <v>0</v>
      </c>
      <c r="J97" s="39">
        <v>0</v>
      </c>
      <c r="K97" s="39">
        <v>0</v>
      </c>
      <c r="L97" s="40">
        <v>0</v>
      </c>
      <c r="M97" s="22">
        <f t="shared" si="17"/>
        <v>0</v>
      </c>
      <c r="N97" s="38">
        <v>0</v>
      </c>
      <c r="O97" s="39">
        <v>0</v>
      </c>
      <c r="P97" s="39">
        <v>4</v>
      </c>
      <c r="Q97" s="21">
        <v>12</v>
      </c>
      <c r="R97" s="22">
        <f t="shared" si="18"/>
        <v>16</v>
      </c>
      <c r="S97" s="22">
        <f t="shared" si="15"/>
        <v>16</v>
      </c>
    </row>
    <row r="98" spans="1:19" ht="27" customHeight="1" x14ac:dyDescent="0.25">
      <c r="A98" s="16" t="s">
        <v>143</v>
      </c>
      <c r="B98" s="60" t="s">
        <v>144</v>
      </c>
      <c r="C98" s="37">
        <v>0</v>
      </c>
      <c r="D98" s="38">
        <v>0</v>
      </c>
      <c r="E98" s="39">
        <v>0</v>
      </c>
      <c r="F98" s="39">
        <v>0</v>
      </c>
      <c r="G98" s="47">
        <v>0</v>
      </c>
      <c r="H98" s="43">
        <f t="shared" si="16"/>
        <v>0</v>
      </c>
      <c r="I98" s="38">
        <v>0</v>
      </c>
      <c r="J98" s="39">
        <v>0</v>
      </c>
      <c r="K98" s="39">
        <v>0</v>
      </c>
      <c r="L98" s="40">
        <v>0</v>
      </c>
      <c r="M98" s="22">
        <f t="shared" si="17"/>
        <v>0</v>
      </c>
      <c r="N98" s="38">
        <v>0</v>
      </c>
      <c r="O98" s="39">
        <v>0</v>
      </c>
      <c r="P98" s="39">
        <v>4</v>
      </c>
      <c r="Q98" s="21">
        <v>7.9</v>
      </c>
      <c r="R98" s="22">
        <f t="shared" si="18"/>
        <v>11.9</v>
      </c>
      <c r="S98" s="22">
        <f t="shared" si="15"/>
        <v>11.9</v>
      </c>
    </row>
    <row r="99" spans="1:19" ht="15" customHeight="1" x14ac:dyDescent="0.25">
      <c r="A99" s="16" t="s">
        <v>145</v>
      </c>
      <c r="B99" s="60" t="s">
        <v>146</v>
      </c>
      <c r="C99" s="37">
        <v>0</v>
      </c>
      <c r="D99" s="38">
        <v>0</v>
      </c>
      <c r="E99" s="39">
        <v>0</v>
      </c>
      <c r="F99" s="39">
        <v>0</v>
      </c>
      <c r="G99" s="40">
        <v>0</v>
      </c>
      <c r="H99" s="43">
        <f t="shared" si="16"/>
        <v>0</v>
      </c>
      <c r="I99" s="38">
        <v>0</v>
      </c>
      <c r="J99" s="39">
        <v>0</v>
      </c>
      <c r="K99" s="39">
        <v>0</v>
      </c>
      <c r="L99" s="40">
        <v>0</v>
      </c>
      <c r="M99" s="22">
        <f t="shared" si="17"/>
        <v>0</v>
      </c>
      <c r="N99" s="38">
        <v>5</v>
      </c>
      <c r="O99" s="39">
        <v>5</v>
      </c>
      <c r="P99" s="39">
        <v>10</v>
      </c>
      <c r="Q99" s="21">
        <v>13.71</v>
      </c>
      <c r="R99" s="22">
        <f t="shared" si="18"/>
        <v>33.71</v>
      </c>
      <c r="S99" s="22">
        <f t="shared" si="15"/>
        <v>33.71</v>
      </c>
    </row>
    <row r="100" spans="1:19" ht="25.5" customHeight="1" x14ac:dyDescent="0.25">
      <c r="A100" s="16" t="s">
        <v>147</v>
      </c>
      <c r="B100" s="60" t="s">
        <v>148</v>
      </c>
      <c r="C100" s="37">
        <v>0</v>
      </c>
      <c r="D100" s="38">
        <v>0</v>
      </c>
      <c r="E100" s="39">
        <v>0</v>
      </c>
      <c r="F100" s="39">
        <v>0</v>
      </c>
      <c r="G100" s="47">
        <v>0</v>
      </c>
      <c r="H100" s="43">
        <f t="shared" si="16"/>
        <v>0</v>
      </c>
      <c r="I100" s="38">
        <v>0</v>
      </c>
      <c r="J100" s="39">
        <v>0</v>
      </c>
      <c r="K100" s="39">
        <v>0</v>
      </c>
      <c r="L100" s="40">
        <v>0</v>
      </c>
      <c r="M100" s="22">
        <f t="shared" si="17"/>
        <v>0</v>
      </c>
      <c r="N100" s="38">
        <v>5</v>
      </c>
      <c r="O100" s="39">
        <v>10</v>
      </c>
      <c r="P100" s="39">
        <v>15</v>
      </c>
      <c r="Q100" s="21">
        <v>25.98</v>
      </c>
      <c r="R100" s="22">
        <f t="shared" si="18"/>
        <v>55.980000000000004</v>
      </c>
      <c r="S100" s="22">
        <f t="shared" si="15"/>
        <v>55.980000000000004</v>
      </c>
    </row>
    <row r="101" spans="1:19" ht="15" customHeight="1" x14ac:dyDescent="0.25">
      <c r="A101" s="16" t="s">
        <v>149</v>
      </c>
      <c r="B101" s="60" t="s">
        <v>498</v>
      </c>
      <c r="C101" s="37">
        <v>0</v>
      </c>
      <c r="D101" s="38">
        <v>0</v>
      </c>
      <c r="E101" s="39">
        <v>0</v>
      </c>
      <c r="F101" s="39">
        <v>0</v>
      </c>
      <c r="G101" s="47">
        <v>0</v>
      </c>
      <c r="H101" s="43">
        <f t="shared" si="16"/>
        <v>0</v>
      </c>
      <c r="I101" s="38">
        <v>0</v>
      </c>
      <c r="J101" s="39">
        <v>0</v>
      </c>
      <c r="K101" s="39">
        <v>0</v>
      </c>
      <c r="L101" s="40">
        <v>0</v>
      </c>
      <c r="M101" s="22">
        <f t="shared" si="17"/>
        <v>0</v>
      </c>
      <c r="N101" s="38">
        <v>0</v>
      </c>
      <c r="O101" s="39">
        <v>0</v>
      </c>
      <c r="P101" s="39">
        <v>5</v>
      </c>
      <c r="Q101" s="21">
        <v>8</v>
      </c>
      <c r="R101" s="22">
        <f t="shared" si="18"/>
        <v>13</v>
      </c>
      <c r="S101" s="22">
        <f t="shared" si="15"/>
        <v>13</v>
      </c>
    </row>
    <row r="102" spans="1:19" ht="15" customHeight="1" x14ac:dyDescent="0.25">
      <c r="A102" s="16" t="s">
        <v>150</v>
      </c>
      <c r="B102" s="60" t="s">
        <v>499</v>
      </c>
      <c r="C102" s="37">
        <v>0</v>
      </c>
      <c r="D102" s="38">
        <v>0</v>
      </c>
      <c r="E102" s="39">
        <v>0</v>
      </c>
      <c r="F102" s="39">
        <v>0</v>
      </c>
      <c r="G102" s="47">
        <v>0</v>
      </c>
      <c r="H102" s="43">
        <f t="shared" si="16"/>
        <v>0</v>
      </c>
      <c r="I102" s="38">
        <v>0</v>
      </c>
      <c r="J102" s="39">
        <v>0</v>
      </c>
      <c r="K102" s="39">
        <v>0</v>
      </c>
      <c r="L102" s="40">
        <v>0</v>
      </c>
      <c r="M102" s="22">
        <f t="shared" si="17"/>
        <v>0</v>
      </c>
      <c r="N102" s="38">
        <v>0</v>
      </c>
      <c r="O102" s="39">
        <v>3</v>
      </c>
      <c r="P102" s="39">
        <v>3</v>
      </c>
      <c r="Q102" s="21">
        <v>8.3000000000000007</v>
      </c>
      <c r="R102" s="22">
        <f t="shared" si="18"/>
        <v>14.3</v>
      </c>
      <c r="S102" s="22">
        <f t="shared" si="15"/>
        <v>14.3</v>
      </c>
    </row>
    <row r="103" spans="1:19" ht="15" customHeight="1" x14ac:dyDescent="0.25">
      <c r="A103" s="16" t="s">
        <v>151</v>
      </c>
      <c r="B103" s="60" t="s">
        <v>152</v>
      </c>
      <c r="C103" s="37">
        <v>0</v>
      </c>
      <c r="D103" s="38">
        <v>0</v>
      </c>
      <c r="E103" s="39">
        <v>0</v>
      </c>
      <c r="F103" s="39">
        <v>0</v>
      </c>
      <c r="G103" s="47">
        <v>0</v>
      </c>
      <c r="H103" s="43">
        <f t="shared" si="16"/>
        <v>0</v>
      </c>
      <c r="I103" s="38">
        <v>0</v>
      </c>
      <c r="J103" s="39">
        <v>0</v>
      </c>
      <c r="K103" s="39">
        <v>0</v>
      </c>
      <c r="L103" s="40">
        <v>0</v>
      </c>
      <c r="M103" s="22">
        <f t="shared" si="17"/>
        <v>0</v>
      </c>
      <c r="N103" s="38">
        <v>0</v>
      </c>
      <c r="O103" s="39">
        <v>0</v>
      </c>
      <c r="P103" s="39">
        <v>2</v>
      </c>
      <c r="Q103" s="21">
        <v>8.1</v>
      </c>
      <c r="R103" s="22">
        <f t="shared" si="18"/>
        <v>10.1</v>
      </c>
      <c r="S103" s="22">
        <f t="shared" si="15"/>
        <v>10.1</v>
      </c>
    </row>
    <row r="104" spans="1:19" ht="27" customHeight="1" x14ac:dyDescent="0.25">
      <c r="A104" s="16" t="s">
        <v>153</v>
      </c>
      <c r="B104" s="60" t="s">
        <v>154</v>
      </c>
      <c r="C104" s="37">
        <v>0</v>
      </c>
      <c r="D104" s="38">
        <v>0</v>
      </c>
      <c r="E104" s="39">
        <v>0</v>
      </c>
      <c r="F104" s="39">
        <v>0</v>
      </c>
      <c r="G104" s="47">
        <v>0</v>
      </c>
      <c r="H104" s="43">
        <f t="shared" si="16"/>
        <v>0</v>
      </c>
      <c r="I104" s="38">
        <v>0</v>
      </c>
      <c r="J104" s="39">
        <v>0</v>
      </c>
      <c r="K104" s="39">
        <v>0</v>
      </c>
      <c r="L104" s="40">
        <v>0</v>
      </c>
      <c r="M104" s="22">
        <f t="shared" si="17"/>
        <v>0</v>
      </c>
      <c r="N104" s="38">
        <v>2</v>
      </c>
      <c r="O104" s="39">
        <v>2.5</v>
      </c>
      <c r="P104" s="39">
        <v>2.5</v>
      </c>
      <c r="Q104" s="21">
        <v>4.9000000000000004</v>
      </c>
      <c r="R104" s="22">
        <f t="shared" si="18"/>
        <v>11.9</v>
      </c>
      <c r="S104" s="22">
        <f t="shared" si="15"/>
        <v>11.9</v>
      </c>
    </row>
    <row r="105" spans="1:19" ht="26.25" customHeight="1" x14ac:dyDescent="0.25">
      <c r="A105" s="16" t="s">
        <v>155</v>
      </c>
      <c r="B105" s="60" t="s">
        <v>156</v>
      </c>
      <c r="C105" s="37">
        <v>0</v>
      </c>
      <c r="D105" s="38">
        <v>0</v>
      </c>
      <c r="E105" s="39">
        <v>0</v>
      </c>
      <c r="F105" s="39">
        <v>0</v>
      </c>
      <c r="G105" s="47">
        <v>0</v>
      </c>
      <c r="H105" s="43">
        <f t="shared" si="16"/>
        <v>0</v>
      </c>
      <c r="I105" s="38">
        <v>0</v>
      </c>
      <c r="J105" s="39">
        <v>0</v>
      </c>
      <c r="K105" s="39">
        <v>0</v>
      </c>
      <c r="L105" s="40">
        <v>0</v>
      </c>
      <c r="M105" s="22">
        <f t="shared" si="17"/>
        <v>0</v>
      </c>
      <c r="N105" s="38">
        <v>0</v>
      </c>
      <c r="O105" s="39">
        <v>0</v>
      </c>
      <c r="P105" s="39">
        <v>0</v>
      </c>
      <c r="Q105" s="21">
        <v>3.5</v>
      </c>
      <c r="R105" s="22">
        <f t="shared" si="18"/>
        <v>3.5</v>
      </c>
      <c r="S105" s="22">
        <f t="shared" si="15"/>
        <v>3.5</v>
      </c>
    </row>
    <row r="106" spans="1:19" ht="27" customHeight="1" x14ac:dyDescent="0.25">
      <c r="A106" s="16" t="s">
        <v>157</v>
      </c>
      <c r="B106" s="60" t="s">
        <v>526</v>
      </c>
      <c r="C106" s="37">
        <v>0</v>
      </c>
      <c r="D106" s="38">
        <v>0</v>
      </c>
      <c r="E106" s="39">
        <v>0</v>
      </c>
      <c r="F106" s="39">
        <v>0</v>
      </c>
      <c r="G106" s="47">
        <v>0</v>
      </c>
      <c r="H106" s="43">
        <f t="shared" si="16"/>
        <v>0</v>
      </c>
      <c r="I106" s="38">
        <v>0</v>
      </c>
      <c r="J106" s="39">
        <v>0</v>
      </c>
      <c r="K106" s="39">
        <v>0</v>
      </c>
      <c r="L106" s="40">
        <v>0</v>
      </c>
      <c r="M106" s="22">
        <f t="shared" si="17"/>
        <v>0</v>
      </c>
      <c r="N106" s="38">
        <v>0</v>
      </c>
      <c r="O106" s="39">
        <v>0</v>
      </c>
      <c r="P106" s="39">
        <v>12</v>
      </c>
      <c r="Q106" s="21">
        <v>30.05</v>
      </c>
      <c r="R106" s="22">
        <f t="shared" si="18"/>
        <v>42.05</v>
      </c>
      <c r="S106" s="22">
        <f t="shared" si="15"/>
        <v>42.05</v>
      </c>
    </row>
    <row r="107" spans="1:19" ht="15" customHeight="1" x14ac:dyDescent="0.25">
      <c r="A107" s="61"/>
      <c r="B107" s="62" t="s">
        <v>158</v>
      </c>
      <c r="C107" s="43">
        <f>SUM(C49:C106)</f>
        <v>464.27734999999996</v>
      </c>
      <c r="D107" s="45">
        <f>SUM(D49:D106)</f>
        <v>0</v>
      </c>
      <c r="E107" s="46">
        <f>SUM(E49:E106)</f>
        <v>73.509999999999991</v>
      </c>
      <c r="F107" s="46">
        <f>SUM(F49:F106)</f>
        <v>96.82</v>
      </c>
      <c r="G107" s="47">
        <f>SUM(G49:G106)</f>
        <v>416.40999999999997</v>
      </c>
      <c r="H107" s="43">
        <f t="shared" si="16"/>
        <v>586.74</v>
      </c>
      <c r="I107" s="45">
        <f>SUM(I49:I106)</f>
        <v>65.86</v>
      </c>
      <c r="J107" s="46">
        <f>SUM(J49:J106)</f>
        <v>126.07</v>
      </c>
      <c r="K107" s="46">
        <f>SUM(K49:K106)</f>
        <v>133.26</v>
      </c>
      <c r="L107" s="47">
        <f>SUM(L49:L106)</f>
        <v>164.51000000000002</v>
      </c>
      <c r="M107" s="43">
        <f t="shared" si="17"/>
        <v>489.70000000000005</v>
      </c>
      <c r="N107" s="45">
        <f>SUM(N49:N106)</f>
        <v>85.2</v>
      </c>
      <c r="O107" s="46">
        <f>SUM(O49:O106)</f>
        <v>126.5</v>
      </c>
      <c r="P107" s="46">
        <f>SUM(P49:P106)</f>
        <v>223.5</v>
      </c>
      <c r="Q107" s="47">
        <f>SUM(Q49:Q106)</f>
        <v>295.02</v>
      </c>
      <c r="R107" s="22">
        <f t="shared" si="18"/>
        <v>730.22</v>
      </c>
      <c r="S107" s="22">
        <f t="shared" si="15"/>
        <v>1806.66</v>
      </c>
    </row>
    <row r="108" spans="1:19" ht="15" customHeight="1" x14ac:dyDescent="0.25">
      <c r="A108" s="61"/>
      <c r="B108" s="58" t="s">
        <v>159</v>
      </c>
      <c r="C108" s="43"/>
      <c r="D108" s="45"/>
      <c r="E108" s="46"/>
      <c r="F108" s="46"/>
      <c r="G108" s="47"/>
      <c r="H108" s="43"/>
      <c r="I108" s="38"/>
      <c r="J108" s="39"/>
      <c r="K108" s="39"/>
      <c r="L108" s="40"/>
      <c r="M108" s="22"/>
      <c r="N108" s="38"/>
      <c r="O108" s="39"/>
      <c r="P108" s="39"/>
      <c r="Q108" s="21"/>
      <c r="R108" s="22"/>
      <c r="S108" s="28"/>
    </row>
    <row r="109" spans="1:19" ht="26.25" customHeight="1" x14ac:dyDescent="0.25">
      <c r="A109" s="61" t="s">
        <v>160</v>
      </c>
      <c r="B109" s="36" t="s">
        <v>539</v>
      </c>
      <c r="C109" s="43">
        <v>0</v>
      </c>
      <c r="D109" s="38">
        <v>0</v>
      </c>
      <c r="E109" s="39">
        <v>0</v>
      </c>
      <c r="F109" s="39">
        <v>0</v>
      </c>
      <c r="G109" s="40">
        <v>26</v>
      </c>
      <c r="H109" s="43">
        <f t="shared" ref="H109:H118" si="19">SUM(D109:G109)</f>
        <v>26</v>
      </c>
      <c r="I109" s="38">
        <v>0</v>
      </c>
      <c r="J109" s="39">
        <v>0</v>
      </c>
      <c r="K109" s="39">
        <v>0</v>
      </c>
      <c r="L109" s="40">
        <v>0</v>
      </c>
      <c r="M109" s="22">
        <f t="shared" ref="M109:M146" si="20">SUM(I109:L109)</f>
        <v>0</v>
      </c>
      <c r="N109" s="38">
        <v>0</v>
      </c>
      <c r="O109" s="39">
        <v>0</v>
      </c>
      <c r="P109" s="39">
        <v>0</v>
      </c>
      <c r="Q109" s="21">
        <v>0</v>
      </c>
      <c r="R109" s="22">
        <f t="shared" ref="R109:R140" si="21">SUM(N109:Q109)</f>
        <v>0</v>
      </c>
      <c r="S109" s="22">
        <f t="shared" ref="S109:S127" si="22">+H109+M109+R109</f>
        <v>26</v>
      </c>
    </row>
    <row r="110" spans="1:19" ht="15" customHeight="1" x14ac:dyDescent="0.25">
      <c r="A110" s="61" t="s">
        <v>162</v>
      </c>
      <c r="B110" s="41" t="s">
        <v>540</v>
      </c>
      <c r="C110" s="43">
        <v>5.52</v>
      </c>
      <c r="D110" s="38">
        <v>0</v>
      </c>
      <c r="E110" s="39">
        <v>0</v>
      </c>
      <c r="F110" s="39">
        <v>0</v>
      </c>
      <c r="G110" s="40">
        <v>39.81</v>
      </c>
      <c r="H110" s="43">
        <f t="shared" si="19"/>
        <v>39.81</v>
      </c>
      <c r="I110" s="38">
        <v>56.11</v>
      </c>
      <c r="J110" s="39">
        <v>0</v>
      </c>
      <c r="K110" s="39">
        <v>0</v>
      </c>
      <c r="L110" s="40">
        <v>0</v>
      </c>
      <c r="M110" s="22">
        <f t="shared" si="20"/>
        <v>56.11</v>
      </c>
      <c r="N110" s="38">
        <v>0</v>
      </c>
      <c r="O110" s="39">
        <v>0</v>
      </c>
      <c r="P110" s="39">
        <v>0</v>
      </c>
      <c r="Q110" s="21">
        <v>0</v>
      </c>
      <c r="R110" s="22">
        <f t="shared" si="21"/>
        <v>0</v>
      </c>
      <c r="S110" s="22">
        <f t="shared" si="22"/>
        <v>95.92</v>
      </c>
    </row>
    <row r="111" spans="1:19" ht="27" customHeight="1" x14ac:dyDescent="0.25">
      <c r="A111" s="61" t="s">
        <v>163</v>
      </c>
      <c r="B111" s="41" t="s">
        <v>565</v>
      </c>
      <c r="C111" s="43">
        <v>0</v>
      </c>
      <c r="D111" s="38">
        <v>0</v>
      </c>
      <c r="E111" s="39">
        <v>0</v>
      </c>
      <c r="F111" s="39">
        <v>0</v>
      </c>
      <c r="G111" s="40">
        <v>0</v>
      </c>
      <c r="H111" s="43">
        <f t="shared" si="19"/>
        <v>0</v>
      </c>
      <c r="I111" s="38">
        <v>0</v>
      </c>
      <c r="J111" s="39">
        <v>20</v>
      </c>
      <c r="K111" s="39">
        <v>37.75</v>
      </c>
      <c r="L111" s="40">
        <v>0</v>
      </c>
      <c r="M111" s="22">
        <f t="shared" si="20"/>
        <v>57.75</v>
      </c>
      <c r="N111" s="38">
        <v>0</v>
      </c>
      <c r="O111" s="39">
        <v>0</v>
      </c>
      <c r="P111" s="39">
        <v>0</v>
      </c>
      <c r="Q111" s="21">
        <v>0</v>
      </c>
      <c r="R111" s="22">
        <f t="shared" si="21"/>
        <v>0</v>
      </c>
      <c r="S111" s="22">
        <f t="shared" si="22"/>
        <v>57.75</v>
      </c>
    </row>
    <row r="112" spans="1:19" ht="27" customHeight="1" x14ac:dyDescent="0.25">
      <c r="A112" s="61" t="s">
        <v>164</v>
      </c>
      <c r="B112" s="55" t="s">
        <v>577</v>
      </c>
      <c r="C112" s="43">
        <v>3.8119999999999998</v>
      </c>
      <c r="D112" s="38">
        <v>0</v>
      </c>
      <c r="E112" s="39">
        <v>40</v>
      </c>
      <c r="F112" s="39">
        <v>40.17</v>
      </c>
      <c r="G112" s="40">
        <v>0</v>
      </c>
      <c r="H112" s="43">
        <f t="shared" si="19"/>
        <v>80.17</v>
      </c>
      <c r="I112" s="38">
        <v>0</v>
      </c>
      <c r="J112" s="39">
        <v>0</v>
      </c>
      <c r="K112" s="39">
        <v>0</v>
      </c>
      <c r="L112" s="40">
        <v>0</v>
      </c>
      <c r="M112" s="22">
        <f t="shared" si="20"/>
        <v>0</v>
      </c>
      <c r="N112" s="38">
        <v>0</v>
      </c>
      <c r="O112" s="39">
        <v>0</v>
      </c>
      <c r="P112" s="39">
        <v>0</v>
      </c>
      <c r="Q112" s="21">
        <v>0</v>
      </c>
      <c r="R112" s="22">
        <f t="shared" si="21"/>
        <v>0</v>
      </c>
      <c r="S112" s="22">
        <f t="shared" si="22"/>
        <v>80.17</v>
      </c>
    </row>
    <row r="113" spans="1:19" ht="27" customHeight="1" x14ac:dyDescent="0.25">
      <c r="A113" s="61" t="s">
        <v>165</v>
      </c>
      <c r="B113" s="42" t="s">
        <v>541</v>
      </c>
      <c r="C113" s="43">
        <v>0</v>
      </c>
      <c r="D113" s="38">
        <v>0</v>
      </c>
      <c r="E113" s="39">
        <v>0</v>
      </c>
      <c r="F113" s="39">
        <v>0</v>
      </c>
      <c r="G113" s="40">
        <v>0</v>
      </c>
      <c r="H113" s="43">
        <f t="shared" si="19"/>
        <v>0</v>
      </c>
      <c r="I113" s="38">
        <v>0</v>
      </c>
      <c r="J113" s="39">
        <v>5</v>
      </c>
      <c r="K113" s="39">
        <v>10</v>
      </c>
      <c r="L113" s="40">
        <v>6.6</v>
      </c>
      <c r="M113" s="22">
        <f t="shared" si="20"/>
        <v>21.6</v>
      </c>
      <c r="N113" s="38">
        <v>0</v>
      </c>
      <c r="O113" s="39">
        <v>0</v>
      </c>
      <c r="P113" s="39">
        <v>0</v>
      </c>
      <c r="Q113" s="21">
        <v>0</v>
      </c>
      <c r="R113" s="22">
        <f t="shared" si="21"/>
        <v>0</v>
      </c>
      <c r="S113" s="22">
        <f t="shared" si="22"/>
        <v>21.6</v>
      </c>
    </row>
    <row r="114" spans="1:19" ht="15" customHeight="1" x14ac:dyDescent="0.25">
      <c r="A114" s="61" t="s">
        <v>166</v>
      </c>
      <c r="B114" s="42" t="s">
        <v>167</v>
      </c>
      <c r="C114" s="43">
        <v>0</v>
      </c>
      <c r="D114" s="38">
        <v>0</v>
      </c>
      <c r="E114" s="39">
        <v>0</v>
      </c>
      <c r="F114" s="39">
        <v>0</v>
      </c>
      <c r="G114" s="40">
        <v>0</v>
      </c>
      <c r="H114" s="43">
        <f t="shared" si="19"/>
        <v>0</v>
      </c>
      <c r="I114" s="38">
        <v>0</v>
      </c>
      <c r="J114" s="39">
        <v>0</v>
      </c>
      <c r="K114" s="39">
        <v>0</v>
      </c>
      <c r="L114" s="40">
        <v>0</v>
      </c>
      <c r="M114" s="22">
        <f t="shared" si="20"/>
        <v>0</v>
      </c>
      <c r="N114" s="38">
        <v>0</v>
      </c>
      <c r="O114" s="39">
        <v>0</v>
      </c>
      <c r="P114" s="39">
        <v>0</v>
      </c>
      <c r="Q114" s="21">
        <v>13</v>
      </c>
      <c r="R114" s="22">
        <f t="shared" si="21"/>
        <v>13</v>
      </c>
      <c r="S114" s="22">
        <f t="shared" si="22"/>
        <v>13</v>
      </c>
    </row>
    <row r="115" spans="1:19" ht="15" customHeight="1" x14ac:dyDescent="0.25">
      <c r="A115" s="61" t="s">
        <v>168</v>
      </c>
      <c r="B115" s="36" t="s">
        <v>169</v>
      </c>
      <c r="C115" s="43">
        <v>0</v>
      </c>
      <c r="D115" s="38">
        <v>0</v>
      </c>
      <c r="E115" s="39">
        <v>0</v>
      </c>
      <c r="F115" s="39">
        <v>0</v>
      </c>
      <c r="G115" s="40">
        <v>0</v>
      </c>
      <c r="H115" s="43">
        <f t="shared" si="19"/>
        <v>0</v>
      </c>
      <c r="I115" s="38">
        <v>0</v>
      </c>
      <c r="J115" s="39">
        <v>0</v>
      </c>
      <c r="K115" s="39">
        <v>0</v>
      </c>
      <c r="L115" s="40">
        <v>50</v>
      </c>
      <c r="M115" s="22">
        <f t="shared" si="20"/>
        <v>50</v>
      </c>
      <c r="N115" s="38">
        <v>5</v>
      </c>
      <c r="O115" s="39">
        <v>15</v>
      </c>
      <c r="P115" s="39">
        <v>25</v>
      </c>
      <c r="Q115" s="21">
        <v>31.46</v>
      </c>
      <c r="R115" s="22">
        <f t="shared" si="21"/>
        <v>76.460000000000008</v>
      </c>
      <c r="S115" s="22">
        <f t="shared" si="22"/>
        <v>126.46000000000001</v>
      </c>
    </row>
    <row r="116" spans="1:19" ht="15" customHeight="1" x14ac:dyDescent="0.25">
      <c r="A116" s="61" t="s">
        <v>170</v>
      </c>
      <c r="B116" s="36" t="s">
        <v>171</v>
      </c>
      <c r="C116" s="43">
        <v>0</v>
      </c>
      <c r="D116" s="38">
        <v>0</v>
      </c>
      <c r="E116" s="39">
        <v>0</v>
      </c>
      <c r="F116" s="39">
        <v>0</v>
      </c>
      <c r="G116" s="40">
        <v>0</v>
      </c>
      <c r="H116" s="43">
        <f t="shared" si="19"/>
        <v>0</v>
      </c>
      <c r="I116" s="38">
        <v>0</v>
      </c>
      <c r="J116" s="39">
        <v>0</v>
      </c>
      <c r="K116" s="39">
        <v>0</v>
      </c>
      <c r="L116" s="40">
        <v>0</v>
      </c>
      <c r="M116" s="22">
        <f t="shared" si="20"/>
        <v>0</v>
      </c>
      <c r="N116" s="38">
        <v>0</v>
      </c>
      <c r="O116" s="39">
        <v>0</v>
      </c>
      <c r="P116" s="39">
        <v>10</v>
      </c>
      <c r="Q116" s="21">
        <v>13.7</v>
      </c>
      <c r="R116" s="22">
        <f t="shared" si="21"/>
        <v>23.7</v>
      </c>
      <c r="S116" s="22">
        <f t="shared" si="22"/>
        <v>23.7</v>
      </c>
    </row>
    <row r="117" spans="1:19" ht="15" customHeight="1" x14ac:dyDescent="0.25">
      <c r="A117" s="61" t="s">
        <v>172</v>
      </c>
      <c r="B117" s="36" t="s">
        <v>173</v>
      </c>
      <c r="C117" s="43">
        <v>0</v>
      </c>
      <c r="D117" s="38">
        <v>0</v>
      </c>
      <c r="E117" s="39">
        <v>0</v>
      </c>
      <c r="F117" s="39">
        <v>0</v>
      </c>
      <c r="G117" s="40">
        <v>0</v>
      </c>
      <c r="H117" s="43">
        <f t="shared" si="19"/>
        <v>0</v>
      </c>
      <c r="I117" s="38">
        <v>0</v>
      </c>
      <c r="J117" s="39">
        <v>25</v>
      </c>
      <c r="K117" s="39">
        <v>25</v>
      </c>
      <c r="L117" s="40">
        <v>5.89</v>
      </c>
      <c r="M117" s="22">
        <f t="shared" si="20"/>
        <v>55.89</v>
      </c>
      <c r="N117" s="38">
        <v>0</v>
      </c>
      <c r="O117" s="39">
        <v>0</v>
      </c>
      <c r="P117" s="39">
        <v>0</v>
      </c>
      <c r="Q117" s="40">
        <v>0</v>
      </c>
      <c r="R117" s="22">
        <f t="shared" si="21"/>
        <v>0</v>
      </c>
      <c r="S117" s="22">
        <f t="shared" si="22"/>
        <v>55.89</v>
      </c>
    </row>
    <row r="118" spans="1:19" ht="15" customHeight="1" x14ac:dyDescent="0.25">
      <c r="A118" s="61" t="s">
        <v>174</v>
      </c>
      <c r="B118" s="36" t="s">
        <v>175</v>
      </c>
      <c r="C118" s="43">
        <v>0</v>
      </c>
      <c r="D118" s="38">
        <v>0</v>
      </c>
      <c r="E118" s="39">
        <v>0</v>
      </c>
      <c r="F118" s="39">
        <v>0</v>
      </c>
      <c r="G118" s="40">
        <v>0</v>
      </c>
      <c r="H118" s="43">
        <f t="shared" si="19"/>
        <v>0</v>
      </c>
      <c r="I118" s="38">
        <v>0</v>
      </c>
      <c r="J118" s="39">
        <v>0</v>
      </c>
      <c r="K118" s="39">
        <v>0</v>
      </c>
      <c r="L118" s="40">
        <v>0</v>
      </c>
      <c r="M118" s="22">
        <f t="shared" si="20"/>
        <v>0</v>
      </c>
      <c r="N118" s="38">
        <v>0</v>
      </c>
      <c r="O118" s="39">
        <v>10</v>
      </c>
      <c r="P118" s="39">
        <v>10</v>
      </c>
      <c r="Q118" s="21">
        <v>13</v>
      </c>
      <c r="R118" s="22">
        <f t="shared" si="21"/>
        <v>33</v>
      </c>
      <c r="S118" s="22">
        <f t="shared" si="22"/>
        <v>33</v>
      </c>
    </row>
    <row r="119" spans="1:19" ht="15" customHeight="1" x14ac:dyDescent="0.25">
      <c r="A119" s="61" t="s">
        <v>176</v>
      </c>
      <c r="B119" s="36" t="s">
        <v>177</v>
      </c>
      <c r="C119" s="43">
        <v>0</v>
      </c>
      <c r="D119" s="38">
        <v>0</v>
      </c>
      <c r="E119" s="39">
        <v>0</v>
      </c>
      <c r="F119" s="39">
        <v>0</v>
      </c>
      <c r="G119" s="40">
        <v>0</v>
      </c>
      <c r="H119" s="43">
        <v>0</v>
      </c>
      <c r="I119" s="38">
        <v>0</v>
      </c>
      <c r="J119" s="39">
        <v>25</v>
      </c>
      <c r="K119" s="39">
        <v>50</v>
      </c>
      <c r="L119" s="40">
        <v>0</v>
      </c>
      <c r="M119" s="22">
        <f t="shared" si="20"/>
        <v>75</v>
      </c>
      <c r="N119" s="38">
        <v>0</v>
      </c>
      <c r="O119" s="39">
        <v>0</v>
      </c>
      <c r="P119" s="39">
        <v>0</v>
      </c>
      <c r="Q119" s="40">
        <v>0</v>
      </c>
      <c r="R119" s="22">
        <f t="shared" si="21"/>
        <v>0</v>
      </c>
      <c r="S119" s="22">
        <f t="shared" si="22"/>
        <v>75</v>
      </c>
    </row>
    <row r="120" spans="1:19" ht="27" customHeight="1" x14ac:dyDescent="0.25">
      <c r="A120" s="61" t="s">
        <v>178</v>
      </c>
      <c r="B120" s="36" t="s">
        <v>179</v>
      </c>
      <c r="C120" s="43">
        <v>16.283000000000001</v>
      </c>
      <c r="D120" s="38">
        <v>0</v>
      </c>
      <c r="E120" s="39">
        <v>10</v>
      </c>
      <c r="F120" s="39">
        <v>12.59</v>
      </c>
      <c r="G120" s="40">
        <v>0</v>
      </c>
      <c r="H120" s="43">
        <f t="shared" ref="H120:H129" si="23">SUM(D120:G120)</f>
        <v>22.59</v>
      </c>
      <c r="I120" s="38">
        <v>0</v>
      </c>
      <c r="J120" s="39">
        <v>0</v>
      </c>
      <c r="K120" s="39">
        <v>0</v>
      </c>
      <c r="L120" s="40">
        <v>0</v>
      </c>
      <c r="M120" s="22">
        <f t="shared" si="20"/>
        <v>0</v>
      </c>
      <c r="N120" s="38">
        <v>0</v>
      </c>
      <c r="O120" s="39">
        <v>0</v>
      </c>
      <c r="P120" s="39">
        <v>0</v>
      </c>
      <c r="Q120" s="40">
        <v>0</v>
      </c>
      <c r="R120" s="22">
        <f t="shared" si="21"/>
        <v>0</v>
      </c>
      <c r="S120" s="22">
        <f t="shared" si="22"/>
        <v>22.59</v>
      </c>
    </row>
    <row r="121" spans="1:19" ht="24.75" customHeight="1" x14ac:dyDescent="0.25">
      <c r="A121" s="61" t="s">
        <v>180</v>
      </c>
      <c r="B121" s="55" t="s">
        <v>542</v>
      </c>
      <c r="C121" s="43">
        <v>0</v>
      </c>
      <c r="D121" s="38">
        <v>0</v>
      </c>
      <c r="E121" s="39">
        <v>0</v>
      </c>
      <c r="F121" s="39">
        <v>0</v>
      </c>
      <c r="G121" s="40">
        <v>4.0599999999999996</v>
      </c>
      <c r="H121" s="43">
        <f t="shared" si="23"/>
        <v>4.0599999999999996</v>
      </c>
      <c r="I121" s="38">
        <v>0</v>
      </c>
      <c r="J121" s="39">
        <v>0</v>
      </c>
      <c r="K121" s="39">
        <v>0</v>
      </c>
      <c r="L121" s="40">
        <v>0</v>
      </c>
      <c r="M121" s="22">
        <f t="shared" si="20"/>
        <v>0</v>
      </c>
      <c r="N121" s="38">
        <v>0</v>
      </c>
      <c r="O121" s="39">
        <v>0</v>
      </c>
      <c r="P121" s="39">
        <v>0</v>
      </c>
      <c r="Q121" s="40">
        <v>0</v>
      </c>
      <c r="R121" s="22">
        <f t="shared" si="21"/>
        <v>0</v>
      </c>
      <c r="S121" s="22">
        <f t="shared" si="22"/>
        <v>4.0599999999999996</v>
      </c>
    </row>
    <row r="122" spans="1:19" ht="15" customHeight="1" x14ac:dyDescent="0.25">
      <c r="A122" s="61" t="s">
        <v>181</v>
      </c>
      <c r="B122" s="36" t="s">
        <v>182</v>
      </c>
      <c r="C122" s="43">
        <v>32.075000000000003</v>
      </c>
      <c r="D122" s="38">
        <v>0</v>
      </c>
      <c r="E122" s="39">
        <v>0</v>
      </c>
      <c r="F122" s="39">
        <v>0</v>
      </c>
      <c r="G122" s="40">
        <v>0</v>
      </c>
      <c r="H122" s="43">
        <f t="shared" si="23"/>
        <v>0</v>
      </c>
      <c r="I122" s="38">
        <v>0</v>
      </c>
      <c r="J122" s="39">
        <v>0</v>
      </c>
      <c r="K122" s="39">
        <v>0</v>
      </c>
      <c r="L122" s="40">
        <v>0</v>
      </c>
      <c r="M122" s="22">
        <f t="shared" si="20"/>
        <v>0</v>
      </c>
      <c r="N122" s="38">
        <v>0</v>
      </c>
      <c r="O122" s="39">
        <v>0</v>
      </c>
      <c r="P122" s="39">
        <v>0</v>
      </c>
      <c r="Q122" s="40">
        <v>0</v>
      </c>
      <c r="R122" s="22">
        <f t="shared" si="21"/>
        <v>0</v>
      </c>
      <c r="S122" s="22">
        <f t="shared" si="22"/>
        <v>0</v>
      </c>
    </row>
    <row r="123" spans="1:19" ht="26.25" customHeight="1" x14ac:dyDescent="0.25">
      <c r="A123" s="61" t="s">
        <v>183</v>
      </c>
      <c r="B123" s="55" t="s">
        <v>370</v>
      </c>
      <c r="C123" s="43">
        <v>18.728000000000002</v>
      </c>
      <c r="D123" s="38">
        <v>0</v>
      </c>
      <c r="E123" s="39">
        <v>0</v>
      </c>
      <c r="F123" s="39">
        <v>0</v>
      </c>
      <c r="G123" s="40">
        <v>0</v>
      </c>
      <c r="H123" s="43">
        <f t="shared" si="23"/>
        <v>0</v>
      </c>
      <c r="I123" s="38">
        <v>0</v>
      </c>
      <c r="J123" s="39">
        <v>0</v>
      </c>
      <c r="K123" s="39">
        <v>0</v>
      </c>
      <c r="L123" s="40">
        <v>0</v>
      </c>
      <c r="M123" s="22">
        <f t="shared" si="20"/>
        <v>0</v>
      </c>
      <c r="N123" s="38">
        <v>0</v>
      </c>
      <c r="O123" s="39">
        <v>0</v>
      </c>
      <c r="P123" s="39">
        <v>0</v>
      </c>
      <c r="Q123" s="40">
        <v>0</v>
      </c>
      <c r="R123" s="22">
        <f t="shared" si="21"/>
        <v>0</v>
      </c>
      <c r="S123" s="22">
        <f t="shared" si="22"/>
        <v>0</v>
      </c>
    </row>
    <row r="124" spans="1:19" ht="15" customHeight="1" x14ac:dyDescent="0.25">
      <c r="A124" s="61" t="s">
        <v>184</v>
      </c>
      <c r="B124" s="41" t="s">
        <v>543</v>
      </c>
      <c r="C124" s="43">
        <f>40276.92/1000</f>
        <v>40.276919999999997</v>
      </c>
      <c r="D124" s="38">
        <v>0</v>
      </c>
      <c r="E124" s="39">
        <v>0</v>
      </c>
      <c r="F124" s="39">
        <v>0</v>
      </c>
      <c r="G124" s="40">
        <v>0</v>
      </c>
      <c r="H124" s="43">
        <f t="shared" si="23"/>
        <v>0</v>
      </c>
      <c r="I124" s="38">
        <v>0</v>
      </c>
      <c r="J124" s="39">
        <v>0</v>
      </c>
      <c r="K124" s="39">
        <v>0</v>
      </c>
      <c r="L124" s="40">
        <v>0</v>
      </c>
      <c r="M124" s="22">
        <f t="shared" si="20"/>
        <v>0</v>
      </c>
      <c r="N124" s="38">
        <v>0</v>
      </c>
      <c r="O124" s="39">
        <v>0</v>
      </c>
      <c r="P124" s="39">
        <v>0</v>
      </c>
      <c r="Q124" s="40">
        <v>0</v>
      </c>
      <c r="R124" s="22">
        <f t="shared" si="21"/>
        <v>0</v>
      </c>
      <c r="S124" s="22">
        <f t="shared" si="22"/>
        <v>0</v>
      </c>
    </row>
    <row r="125" spans="1:19" ht="27.75" customHeight="1" x14ac:dyDescent="0.25">
      <c r="A125" s="61" t="s">
        <v>186</v>
      </c>
      <c r="B125" s="41" t="s">
        <v>187</v>
      </c>
      <c r="C125" s="43">
        <f>18184.7/1000</f>
        <v>18.184699999999999</v>
      </c>
      <c r="D125" s="38">
        <v>0</v>
      </c>
      <c r="E125" s="39">
        <v>0</v>
      </c>
      <c r="F125" s="39">
        <v>0</v>
      </c>
      <c r="G125" s="40">
        <v>0</v>
      </c>
      <c r="H125" s="43">
        <f t="shared" si="23"/>
        <v>0</v>
      </c>
      <c r="I125" s="38">
        <v>0</v>
      </c>
      <c r="J125" s="39">
        <v>0</v>
      </c>
      <c r="K125" s="39">
        <v>0</v>
      </c>
      <c r="L125" s="40">
        <v>0</v>
      </c>
      <c r="M125" s="22">
        <f t="shared" si="20"/>
        <v>0</v>
      </c>
      <c r="N125" s="38">
        <v>0</v>
      </c>
      <c r="O125" s="39">
        <v>0</v>
      </c>
      <c r="P125" s="39">
        <v>0</v>
      </c>
      <c r="Q125" s="40">
        <v>0</v>
      </c>
      <c r="R125" s="22">
        <f t="shared" si="21"/>
        <v>0</v>
      </c>
      <c r="S125" s="22">
        <f t="shared" si="22"/>
        <v>0</v>
      </c>
    </row>
    <row r="126" spans="1:19" ht="27" customHeight="1" x14ac:dyDescent="0.25">
      <c r="A126" s="61" t="s">
        <v>188</v>
      </c>
      <c r="B126" s="55" t="s">
        <v>189</v>
      </c>
      <c r="C126" s="43">
        <v>0</v>
      </c>
      <c r="D126" s="38">
        <v>0</v>
      </c>
      <c r="E126" s="39">
        <v>0</v>
      </c>
      <c r="F126" s="39">
        <v>5.13</v>
      </c>
      <c r="G126" s="40">
        <v>0</v>
      </c>
      <c r="H126" s="43">
        <f t="shared" si="23"/>
        <v>5.13</v>
      </c>
      <c r="I126" s="38">
        <v>0</v>
      </c>
      <c r="J126" s="39">
        <v>0</v>
      </c>
      <c r="K126" s="39">
        <v>0</v>
      </c>
      <c r="L126" s="40">
        <v>0</v>
      </c>
      <c r="M126" s="22">
        <f t="shared" si="20"/>
        <v>0</v>
      </c>
      <c r="N126" s="38">
        <v>0</v>
      </c>
      <c r="O126" s="39">
        <v>0</v>
      </c>
      <c r="P126" s="39">
        <v>0</v>
      </c>
      <c r="Q126" s="40">
        <v>0</v>
      </c>
      <c r="R126" s="22">
        <f t="shared" si="21"/>
        <v>0</v>
      </c>
      <c r="S126" s="22">
        <f t="shared" si="22"/>
        <v>5.13</v>
      </c>
    </row>
    <row r="127" spans="1:19" ht="15" customHeight="1" x14ac:dyDescent="0.25">
      <c r="A127" s="61" t="s">
        <v>190</v>
      </c>
      <c r="B127" s="55" t="s">
        <v>544</v>
      </c>
      <c r="C127" s="43">
        <f>2460.5/1000</f>
        <v>2.4605000000000001</v>
      </c>
      <c r="D127" s="38">
        <v>0</v>
      </c>
      <c r="E127" s="39">
        <v>0</v>
      </c>
      <c r="F127" s="39">
        <v>0</v>
      </c>
      <c r="G127" s="40">
        <v>0</v>
      </c>
      <c r="H127" s="43">
        <f t="shared" si="23"/>
        <v>0</v>
      </c>
      <c r="I127" s="38">
        <v>0</v>
      </c>
      <c r="J127" s="39">
        <v>0</v>
      </c>
      <c r="K127" s="39">
        <v>0</v>
      </c>
      <c r="L127" s="40">
        <v>0</v>
      </c>
      <c r="M127" s="22">
        <f t="shared" si="20"/>
        <v>0</v>
      </c>
      <c r="N127" s="38">
        <v>0</v>
      </c>
      <c r="O127" s="39">
        <v>0</v>
      </c>
      <c r="P127" s="39">
        <v>0</v>
      </c>
      <c r="Q127" s="40">
        <v>0</v>
      </c>
      <c r="R127" s="22">
        <f t="shared" si="21"/>
        <v>0</v>
      </c>
      <c r="S127" s="22">
        <f t="shared" si="22"/>
        <v>0</v>
      </c>
    </row>
    <row r="128" spans="1:19" ht="27.75" customHeight="1" x14ac:dyDescent="0.25">
      <c r="A128" s="61" t="s">
        <v>191</v>
      </c>
      <c r="B128" s="55" t="s">
        <v>578</v>
      </c>
      <c r="C128" s="43">
        <v>0</v>
      </c>
      <c r="D128" s="38">
        <v>0</v>
      </c>
      <c r="E128" s="39">
        <v>0</v>
      </c>
      <c r="F128" s="39">
        <v>0</v>
      </c>
      <c r="G128" s="40">
        <v>11.28</v>
      </c>
      <c r="H128" s="43">
        <f t="shared" si="23"/>
        <v>11.28</v>
      </c>
      <c r="I128" s="38">
        <v>0</v>
      </c>
      <c r="J128" s="39">
        <v>30</v>
      </c>
      <c r="K128" s="39">
        <v>124.63</v>
      </c>
      <c r="L128" s="40">
        <v>120</v>
      </c>
      <c r="M128" s="22">
        <f t="shared" si="20"/>
        <v>274.63</v>
      </c>
      <c r="N128" s="38">
        <v>0</v>
      </c>
      <c r="O128" s="39">
        <v>0</v>
      </c>
      <c r="P128" s="39">
        <v>0</v>
      </c>
      <c r="Q128" s="21">
        <v>0</v>
      </c>
      <c r="R128" s="22">
        <f t="shared" si="21"/>
        <v>0</v>
      </c>
      <c r="S128" s="22">
        <f>+H128+M128+R128</f>
        <v>285.90999999999997</v>
      </c>
    </row>
    <row r="129" spans="1:19" ht="27" customHeight="1" x14ac:dyDescent="0.25">
      <c r="A129" s="61" t="s">
        <v>192</v>
      </c>
      <c r="B129" s="55" t="s">
        <v>579</v>
      </c>
      <c r="C129" s="43">
        <v>0</v>
      </c>
      <c r="D129" s="38">
        <v>0</v>
      </c>
      <c r="E129" s="39">
        <v>0</v>
      </c>
      <c r="F129" s="39">
        <v>0</v>
      </c>
      <c r="G129" s="40">
        <v>0</v>
      </c>
      <c r="H129" s="43">
        <f t="shared" si="23"/>
        <v>0</v>
      </c>
      <c r="I129" s="38">
        <v>0</v>
      </c>
      <c r="J129" s="39">
        <v>20</v>
      </c>
      <c r="K129" s="39">
        <v>20</v>
      </c>
      <c r="L129" s="40">
        <v>41.77</v>
      </c>
      <c r="M129" s="22">
        <f t="shared" si="20"/>
        <v>81.77000000000001</v>
      </c>
      <c r="N129" s="38">
        <v>0</v>
      </c>
      <c r="O129" s="39">
        <v>0</v>
      </c>
      <c r="P129" s="39">
        <v>0</v>
      </c>
      <c r="Q129" s="21">
        <v>0</v>
      </c>
      <c r="R129" s="22">
        <f t="shared" si="21"/>
        <v>0</v>
      </c>
      <c r="S129" s="22">
        <f t="shared" ref="S129:S156" si="24">+H129+M129+R129</f>
        <v>81.77000000000001</v>
      </c>
    </row>
    <row r="130" spans="1:19" ht="27" customHeight="1" x14ac:dyDescent="0.25">
      <c r="A130" s="61" t="s">
        <v>193</v>
      </c>
      <c r="B130" s="55" t="s">
        <v>545</v>
      </c>
      <c r="C130" s="43">
        <v>0</v>
      </c>
      <c r="D130" s="38">
        <v>0</v>
      </c>
      <c r="E130" s="39">
        <v>0</v>
      </c>
      <c r="F130" s="39">
        <v>0</v>
      </c>
      <c r="G130" s="40">
        <v>0</v>
      </c>
      <c r="H130" s="43">
        <v>0</v>
      </c>
      <c r="I130" s="38">
        <v>0</v>
      </c>
      <c r="J130" s="39">
        <v>0</v>
      </c>
      <c r="K130" s="39">
        <v>5</v>
      </c>
      <c r="L130" s="40">
        <v>6.51</v>
      </c>
      <c r="M130" s="22">
        <f t="shared" si="20"/>
        <v>11.51</v>
      </c>
      <c r="N130" s="38">
        <v>20</v>
      </c>
      <c r="O130" s="39">
        <v>20</v>
      </c>
      <c r="P130" s="39">
        <v>50</v>
      </c>
      <c r="Q130" s="21">
        <v>62.89</v>
      </c>
      <c r="R130" s="22">
        <f t="shared" si="21"/>
        <v>152.88999999999999</v>
      </c>
      <c r="S130" s="22">
        <f t="shared" si="24"/>
        <v>164.39999999999998</v>
      </c>
    </row>
    <row r="131" spans="1:19" ht="15" customHeight="1" x14ac:dyDescent="0.25">
      <c r="A131" s="61" t="s">
        <v>194</v>
      </c>
      <c r="B131" s="55" t="s">
        <v>195</v>
      </c>
      <c r="C131" s="43">
        <v>3.95</v>
      </c>
      <c r="D131" s="38">
        <v>0</v>
      </c>
      <c r="E131" s="39">
        <v>0</v>
      </c>
      <c r="F131" s="39">
        <v>0</v>
      </c>
      <c r="G131" s="40">
        <v>0</v>
      </c>
      <c r="H131" s="43">
        <f>SUM(D131:G131)</f>
        <v>0</v>
      </c>
      <c r="I131" s="38">
        <v>0</v>
      </c>
      <c r="J131" s="39">
        <v>0</v>
      </c>
      <c r="K131" s="39">
        <v>0</v>
      </c>
      <c r="L131" s="40">
        <v>0</v>
      </c>
      <c r="M131" s="22">
        <f t="shared" si="20"/>
        <v>0</v>
      </c>
      <c r="N131" s="38">
        <v>0</v>
      </c>
      <c r="O131" s="39">
        <v>0</v>
      </c>
      <c r="P131" s="39">
        <v>0</v>
      </c>
      <c r="Q131" s="40">
        <v>0</v>
      </c>
      <c r="R131" s="22">
        <f t="shared" si="21"/>
        <v>0</v>
      </c>
      <c r="S131" s="22">
        <f t="shared" si="24"/>
        <v>0</v>
      </c>
    </row>
    <row r="132" spans="1:19" ht="15" customHeight="1" x14ac:dyDescent="0.25">
      <c r="A132" s="61" t="s">
        <v>196</v>
      </c>
      <c r="B132" s="55" t="s">
        <v>197</v>
      </c>
      <c r="C132" s="43">
        <f>9336.91/1000</f>
        <v>9.3369099999999996</v>
      </c>
      <c r="D132" s="38">
        <v>0</v>
      </c>
      <c r="E132" s="39">
        <v>0</v>
      </c>
      <c r="F132" s="39">
        <v>0</v>
      </c>
      <c r="G132" s="40">
        <v>113.89</v>
      </c>
      <c r="H132" s="43">
        <f>SUM(D132:G132)</f>
        <v>113.89</v>
      </c>
      <c r="I132" s="38">
        <v>0</v>
      </c>
      <c r="J132" s="39">
        <v>0</v>
      </c>
      <c r="K132" s="39">
        <v>0</v>
      </c>
      <c r="L132" s="40">
        <v>0</v>
      </c>
      <c r="M132" s="22">
        <f t="shared" si="20"/>
        <v>0</v>
      </c>
      <c r="N132" s="38">
        <v>0</v>
      </c>
      <c r="O132" s="39">
        <v>0</v>
      </c>
      <c r="P132" s="39">
        <v>0</v>
      </c>
      <c r="Q132" s="40">
        <v>0</v>
      </c>
      <c r="R132" s="22">
        <f t="shared" si="21"/>
        <v>0</v>
      </c>
      <c r="S132" s="22">
        <f t="shared" si="24"/>
        <v>113.89</v>
      </c>
    </row>
    <row r="133" spans="1:19" ht="15" customHeight="1" x14ac:dyDescent="0.25">
      <c r="A133" s="61" t="s">
        <v>198</v>
      </c>
      <c r="B133" s="55" t="s">
        <v>199</v>
      </c>
      <c r="C133" s="43">
        <v>0</v>
      </c>
      <c r="D133" s="38">
        <v>0</v>
      </c>
      <c r="E133" s="39">
        <v>0</v>
      </c>
      <c r="F133" s="39">
        <v>0</v>
      </c>
      <c r="G133" s="40">
        <v>0</v>
      </c>
      <c r="H133" s="43">
        <v>0</v>
      </c>
      <c r="I133" s="38">
        <v>0</v>
      </c>
      <c r="J133" s="39">
        <v>0</v>
      </c>
      <c r="K133" s="39">
        <v>0</v>
      </c>
      <c r="L133" s="40">
        <v>0</v>
      </c>
      <c r="M133" s="22">
        <f t="shared" si="20"/>
        <v>0</v>
      </c>
      <c r="N133" s="38">
        <v>8.3000000000000007</v>
      </c>
      <c r="O133" s="39">
        <v>20</v>
      </c>
      <c r="P133" s="39">
        <v>60</v>
      </c>
      <c r="Q133" s="21">
        <v>60</v>
      </c>
      <c r="R133" s="22">
        <f t="shared" si="21"/>
        <v>148.30000000000001</v>
      </c>
      <c r="S133" s="22">
        <f t="shared" si="24"/>
        <v>148.30000000000001</v>
      </c>
    </row>
    <row r="134" spans="1:19" ht="27" customHeight="1" x14ac:dyDescent="0.25">
      <c r="A134" s="61" t="s">
        <v>200</v>
      </c>
      <c r="B134" s="55" t="s">
        <v>500</v>
      </c>
      <c r="C134" s="43">
        <v>0</v>
      </c>
      <c r="D134" s="38">
        <v>0</v>
      </c>
      <c r="E134" s="39">
        <v>0</v>
      </c>
      <c r="F134" s="39">
        <v>0</v>
      </c>
      <c r="G134" s="40">
        <v>0</v>
      </c>
      <c r="H134" s="43">
        <v>0</v>
      </c>
      <c r="I134" s="38">
        <v>0</v>
      </c>
      <c r="J134" s="39">
        <v>0</v>
      </c>
      <c r="K134" s="39">
        <v>0</v>
      </c>
      <c r="L134" s="40">
        <v>0</v>
      </c>
      <c r="M134" s="22">
        <f t="shared" si="20"/>
        <v>0</v>
      </c>
      <c r="N134" s="38">
        <v>10</v>
      </c>
      <c r="O134" s="39">
        <v>10</v>
      </c>
      <c r="P134" s="39">
        <v>10</v>
      </c>
      <c r="Q134" s="21">
        <v>25.4</v>
      </c>
      <c r="R134" s="22">
        <f t="shared" si="21"/>
        <v>55.4</v>
      </c>
      <c r="S134" s="22">
        <f t="shared" si="24"/>
        <v>55.4</v>
      </c>
    </row>
    <row r="135" spans="1:19" ht="26.25" customHeight="1" x14ac:dyDescent="0.25">
      <c r="A135" s="61" t="s">
        <v>201</v>
      </c>
      <c r="B135" s="41" t="s">
        <v>501</v>
      </c>
      <c r="C135" s="43">
        <v>7.1890000000000001</v>
      </c>
      <c r="D135" s="38">
        <v>0</v>
      </c>
      <c r="E135" s="39">
        <v>0</v>
      </c>
      <c r="F135" s="39">
        <v>0</v>
      </c>
      <c r="G135" s="40">
        <v>0</v>
      </c>
      <c r="H135" s="43">
        <f>SUM(D135:G135)</f>
        <v>0</v>
      </c>
      <c r="I135" s="38">
        <v>0</v>
      </c>
      <c r="J135" s="39">
        <v>0</v>
      </c>
      <c r="K135" s="39">
        <v>0</v>
      </c>
      <c r="L135" s="40">
        <v>0</v>
      </c>
      <c r="M135" s="22">
        <f t="shared" si="20"/>
        <v>0</v>
      </c>
      <c r="N135" s="38">
        <v>0</v>
      </c>
      <c r="O135" s="39">
        <v>0</v>
      </c>
      <c r="P135" s="39">
        <v>0</v>
      </c>
      <c r="Q135" s="40">
        <v>0</v>
      </c>
      <c r="R135" s="22">
        <f t="shared" si="21"/>
        <v>0</v>
      </c>
      <c r="S135" s="22">
        <f t="shared" si="24"/>
        <v>0</v>
      </c>
    </row>
    <row r="136" spans="1:19" ht="24.75" customHeight="1" x14ac:dyDescent="0.25">
      <c r="A136" s="61" t="s">
        <v>202</v>
      </c>
      <c r="B136" s="55" t="s">
        <v>203</v>
      </c>
      <c r="C136" s="43">
        <v>0</v>
      </c>
      <c r="D136" s="38">
        <v>0</v>
      </c>
      <c r="E136" s="39">
        <v>0</v>
      </c>
      <c r="F136" s="39">
        <v>0</v>
      </c>
      <c r="G136" s="40">
        <v>0</v>
      </c>
      <c r="H136" s="43">
        <f>SUM(D136:G136)</f>
        <v>0</v>
      </c>
      <c r="I136" s="38">
        <f>3+10</f>
        <v>13</v>
      </c>
      <c r="J136" s="39">
        <f>3+22.7</f>
        <v>25.7</v>
      </c>
      <c r="K136" s="39">
        <f>6+10</f>
        <v>16</v>
      </c>
      <c r="L136" s="40">
        <f>7+10</f>
        <v>17</v>
      </c>
      <c r="M136" s="22">
        <f t="shared" si="20"/>
        <v>71.7</v>
      </c>
      <c r="N136" s="38">
        <v>0</v>
      </c>
      <c r="O136" s="39">
        <v>0</v>
      </c>
      <c r="P136" s="39">
        <v>0</v>
      </c>
      <c r="Q136" s="40">
        <v>0</v>
      </c>
      <c r="R136" s="22">
        <f t="shared" si="21"/>
        <v>0</v>
      </c>
      <c r="S136" s="22">
        <f t="shared" si="24"/>
        <v>71.7</v>
      </c>
    </row>
    <row r="137" spans="1:19" ht="15" customHeight="1" x14ac:dyDescent="0.25">
      <c r="A137" s="61" t="s">
        <v>204</v>
      </c>
      <c r="B137" s="55" t="s">
        <v>546</v>
      </c>
      <c r="C137" s="43">
        <v>3.7</v>
      </c>
      <c r="D137" s="38">
        <v>0</v>
      </c>
      <c r="E137" s="39">
        <v>0</v>
      </c>
      <c r="F137" s="39">
        <v>0</v>
      </c>
      <c r="G137" s="40">
        <v>0</v>
      </c>
      <c r="H137" s="43">
        <v>0</v>
      </c>
      <c r="I137" s="38">
        <v>0</v>
      </c>
      <c r="J137" s="39">
        <v>10</v>
      </c>
      <c r="K137" s="39">
        <v>50</v>
      </c>
      <c r="L137" s="40">
        <v>36.729999999999997</v>
      </c>
      <c r="M137" s="22">
        <f t="shared" si="20"/>
        <v>96.72999999999999</v>
      </c>
      <c r="N137" s="38">
        <v>0</v>
      </c>
      <c r="O137" s="39">
        <v>0</v>
      </c>
      <c r="P137" s="39">
        <v>0</v>
      </c>
      <c r="Q137" s="40">
        <v>0</v>
      </c>
      <c r="R137" s="22">
        <f t="shared" si="21"/>
        <v>0</v>
      </c>
      <c r="S137" s="22">
        <f t="shared" si="24"/>
        <v>96.72999999999999</v>
      </c>
    </row>
    <row r="138" spans="1:19" ht="15.75" customHeight="1" x14ac:dyDescent="0.25">
      <c r="A138" s="61" t="s">
        <v>205</v>
      </c>
      <c r="B138" s="59" t="s">
        <v>502</v>
      </c>
      <c r="C138" s="43">
        <f>7966.65/1000</f>
        <v>7.9666499999999996</v>
      </c>
      <c r="D138" s="38">
        <v>0</v>
      </c>
      <c r="E138" s="39">
        <v>0</v>
      </c>
      <c r="F138" s="39">
        <v>0</v>
      </c>
      <c r="G138" s="40">
        <v>0</v>
      </c>
      <c r="H138" s="43">
        <f t="shared" ref="H138:H146" si="25">SUM(D138:G138)</f>
        <v>0</v>
      </c>
      <c r="I138" s="38">
        <v>0</v>
      </c>
      <c r="J138" s="39">
        <v>0</v>
      </c>
      <c r="K138" s="39">
        <v>0</v>
      </c>
      <c r="L138" s="40">
        <v>0</v>
      </c>
      <c r="M138" s="22">
        <f t="shared" si="20"/>
        <v>0</v>
      </c>
      <c r="N138" s="38">
        <v>0</v>
      </c>
      <c r="O138" s="39">
        <v>0</v>
      </c>
      <c r="P138" s="39">
        <v>0</v>
      </c>
      <c r="Q138" s="40">
        <v>0</v>
      </c>
      <c r="R138" s="22">
        <f t="shared" si="21"/>
        <v>0</v>
      </c>
      <c r="S138" s="22">
        <f t="shared" si="24"/>
        <v>0</v>
      </c>
    </row>
    <row r="139" spans="1:19" ht="26.25" customHeight="1" x14ac:dyDescent="0.25">
      <c r="A139" s="61" t="s">
        <v>206</v>
      </c>
      <c r="B139" s="55" t="s">
        <v>207</v>
      </c>
      <c r="C139" s="43">
        <v>0</v>
      </c>
      <c r="D139" s="38">
        <v>0</v>
      </c>
      <c r="E139" s="39">
        <v>0</v>
      </c>
      <c r="F139" s="39">
        <v>0</v>
      </c>
      <c r="G139" s="40">
        <v>0</v>
      </c>
      <c r="H139" s="43">
        <f t="shared" si="25"/>
        <v>0</v>
      </c>
      <c r="I139" s="38">
        <v>0</v>
      </c>
      <c r="J139" s="39">
        <v>0</v>
      </c>
      <c r="K139" s="39">
        <v>4</v>
      </c>
      <c r="L139" s="40">
        <v>4.7</v>
      </c>
      <c r="M139" s="22">
        <f t="shared" si="20"/>
        <v>8.6999999999999993</v>
      </c>
      <c r="N139" s="38">
        <v>0</v>
      </c>
      <c r="O139" s="39">
        <v>0</v>
      </c>
      <c r="P139" s="39">
        <v>0</v>
      </c>
      <c r="Q139" s="40">
        <v>0</v>
      </c>
      <c r="R139" s="22">
        <f t="shared" si="21"/>
        <v>0</v>
      </c>
      <c r="S139" s="22">
        <f t="shared" si="24"/>
        <v>8.6999999999999993</v>
      </c>
    </row>
    <row r="140" spans="1:19" ht="15" customHeight="1" x14ac:dyDescent="0.25">
      <c r="A140" s="61" t="s">
        <v>208</v>
      </c>
      <c r="B140" s="42" t="s">
        <v>209</v>
      </c>
      <c r="C140" s="43">
        <v>2.415</v>
      </c>
      <c r="D140" s="38">
        <v>0</v>
      </c>
      <c r="E140" s="39">
        <v>0</v>
      </c>
      <c r="F140" s="39">
        <v>0</v>
      </c>
      <c r="G140" s="40">
        <v>0</v>
      </c>
      <c r="H140" s="43">
        <f t="shared" si="25"/>
        <v>0</v>
      </c>
      <c r="I140" s="38">
        <v>0</v>
      </c>
      <c r="J140" s="39">
        <v>0</v>
      </c>
      <c r="K140" s="39">
        <v>0</v>
      </c>
      <c r="L140" s="40">
        <v>0</v>
      </c>
      <c r="M140" s="22">
        <f t="shared" si="20"/>
        <v>0</v>
      </c>
      <c r="N140" s="38">
        <v>0</v>
      </c>
      <c r="O140" s="39">
        <v>0</v>
      </c>
      <c r="P140" s="39">
        <v>0</v>
      </c>
      <c r="Q140" s="21">
        <v>0</v>
      </c>
      <c r="R140" s="22">
        <f t="shared" si="21"/>
        <v>0</v>
      </c>
      <c r="S140" s="22">
        <f t="shared" si="24"/>
        <v>0</v>
      </c>
    </row>
    <row r="141" spans="1:19" ht="15" customHeight="1" x14ac:dyDescent="0.25">
      <c r="A141" s="61" t="s">
        <v>210</v>
      </c>
      <c r="B141" s="42" t="s">
        <v>211</v>
      </c>
      <c r="C141" s="43">
        <v>0</v>
      </c>
      <c r="D141" s="38">
        <v>0</v>
      </c>
      <c r="E141" s="39">
        <v>0</v>
      </c>
      <c r="F141" s="39">
        <v>0</v>
      </c>
      <c r="G141" s="40">
        <v>0</v>
      </c>
      <c r="H141" s="43">
        <f t="shared" si="25"/>
        <v>0</v>
      </c>
      <c r="I141" s="38">
        <v>0</v>
      </c>
      <c r="J141" s="39">
        <v>0</v>
      </c>
      <c r="K141" s="39">
        <v>0</v>
      </c>
      <c r="L141" s="40">
        <v>0</v>
      </c>
      <c r="M141" s="22">
        <f t="shared" si="20"/>
        <v>0</v>
      </c>
      <c r="N141" s="38">
        <v>0</v>
      </c>
      <c r="O141" s="39">
        <v>0</v>
      </c>
      <c r="P141" s="39">
        <v>25</v>
      </c>
      <c r="Q141" s="21">
        <v>29.39</v>
      </c>
      <c r="R141" s="22">
        <f t="shared" ref="R141:R156" si="26">SUM(N141:Q141)</f>
        <v>54.39</v>
      </c>
      <c r="S141" s="22">
        <f t="shared" si="24"/>
        <v>54.39</v>
      </c>
    </row>
    <row r="142" spans="1:19" ht="15" customHeight="1" x14ac:dyDescent="0.25">
      <c r="A142" s="61" t="s">
        <v>212</v>
      </c>
      <c r="B142" s="60" t="s">
        <v>213</v>
      </c>
      <c r="C142" s="43">
        <v>0</v>
      </c>
      <c r="D142" s="38">
        <v>0</v>
      </c>
      <c r="E142" s="39">
        <v>0</v>
      </c>
      <c r="F142" s="39">
        <v>0</v>
      </c>
      <c r="G142" s="40">
        <v>0</v>
      </c>
      <c r="H142" s="43">
        <f t="shared" si="25"/>
        <v>0</v>
      </c>
      <c r="I142" s="38">
        <v>0</v>
      </c>
      <c r="J142" s="39">
        <v>0</v>
      </c>
      <c r="K142" s="39">
        <v>8.0500000000000007</v>
      </c>
      <c r="L142" s="40">
        <v>0</v>
      </c>
      <c r="M142" s="22">
        <f t="shared" si="20"/>
        <v>8.0500000000000007</v>
      </c>
      <c r="N142" s="38">
        <v>0</v>
      </c>
      <c r="O142" s="39">
        <v>0</v>
      </c>
      <c r="P142" s="39">
        <v>0</v>
      </c>
      <c r="Q142" s="21">
        <v>0</v>
      </c>
      <c r="R142" s="22">
        <f t="shared" si="26"/>
        <v>0</v>
      </c>
      <c r="S142" s="22">
        <f t="shared" si="24"/>
        <v>8.0500000000000007</v>
      </c>
    </row>
    <row r="143" spans="1:19" ht="24.75" customHeight="1" x14ac:dyDescent="0.25">
      <c r="A143" s="61" t="s">
        <v>214</v>
      </c>
      <c r="B143" s="60" t="s">
        <v>547</v>
      </c>
      <c r="C143" s="43">
        <v>0</v>
      </c>
      <c r="D143" s="38">
        <v>0</v>
      </c>
      <c r="E143" s="39">
        <v>0</v>
      </c>
      <c r="F143" s="39">
        <v>0</v>
      </c>
      <c r="G143" s="40">
        <v>0</v>
      </c>
      <c r="H143" s="43">
        <f t="shared" si="25"/>
        <v>0</v>
      </c>
      <c r="I143" s="38">
        <v>0</v>
      </c>
      <c r="J143" s="39">
        <v>0</v>
      </c>
      <c r="K143" s="39">
        <v>5</v>
      </c>
      <c r="L143" s="40">
        <v>5.53</v>
      </c>
      <c r="M143" s="22">
        <f t="shared" si="20"/>
        <v>10.530000000000001</v>
      </c>
      <c r="N143" s="38">
        <v>0</v>
      </c>
      <c r="O143" s="39">
        <v>0</v>
      </c>
      <c r="P143" s="39">
        <v>0</v>
      </c>
      <c r="Q143" s="21">
        <v>0</v>
      </c>
      <c r="R143" s="22">
        <f t="shared" si="26"/>
        <v>0</v>
      </c>
      <c r="S143" s="22">
        <f t="shared" si="24"/>
        <v>10.530000000000001</v>
      </c>
    </row>
    <row r="144" spans="1:19" ht="15" customHeight="1" x14ac:dyDescent="0.25">
      <c r="A144" s="61" t="s">
        <v>216</v>
      </c>
      <c r="B144" s="60" t="s">
        <v>217</v>
      </c>
      <c r="C144" s="43">
        <v>0</v>
      </c>
      <c r="D144" s="38">
        <v>0</v>
      </c>
      <c r="E144" s="39">
        <v>0</v>
      </c>
      <c r="F144" s="39">
        <v>0</v>
      </c>
      <c r="G144" s="40">
        <v>0</v>
      </c>
      <c r="H144" s="43">
        <f t="shared" si="25"/>
        <v>0</v>
      </c>
      <c r="I144" s="38">
        <v>0</v>
      </c>
      <c r="J144" s="39">
        <v>0</v>
      </c>
      <c r="K144" s="39">
        <v>0</v>
      </c>
      <c r="L144" s="40">
        <v>0</v>
      </c>
      <c r="M144" s="22">
        <f t="shared" si="20"/>
        <v>0</v>
      </c>
      <c r="N144" s="38">
        <v>0</v>
      </c>
      <c r="O144" s="39">
        <v>0</v>
      </c>
      <c r="P144" s="39">
        <v>100</v>
      </c>
      <c r="Q144" s="21">
        <v>118.37</v>
      </c>
      <c r="R144" s="22">
        <f t="shared" si="26"/>
        <v>218.37</v>
      </c>
      <c r="S144" s="22">
        <f t="shared" si="24"/>
        <v>218.37</v>
      </c>
    </row>
    <row r="145" spans="1:19" ht="15" customHeight="1" x14ac:dyDescent="0.25">
      <c r="A145" s="61" t="s">
        <v>218</v>
      </c>
      <c r="B145" s="60" t="s">
        <v>219</v>
      </c>
      <c r="C145" s="43">
        <v>0</v>
      </c>
      <c r="D145" s="38">
        <v>0</v>
      </c>
      <c r="E145" s="39">
        <v>0</v>
      </c>
      <c r="F145" s="39">
        <v>0</v>
      </c>
      <c r="G145" s="40">
        <v>0</v>
      </c>
      <c r="H145" s="43">
        <f t="shared" si="25"/>
        <v>0</v>
      </c>
      <c r="I145" s="38">
        <v>0</v>
      </c>
      <c r="J145" s="39">
        <v>0</v>
      </c>
      <c r="K145" s="39">
        <v>0</v>
      </c>
      <c r="L145" s="40">
        <v>0</v>
      </c>
      <c r="M145" s="22">
        <f t="shared" si="20"/>
        <v>0</v>
      </c>
      <c r="N145" s="38">
        <v>0</v>
      </c>
      <c r="O145" s="39">
        <v>7</v>
      </c>
      <c r="P145" s="39">
        <v>10.3</v>
      </c>
      <c r="Q145" s="21">
        <v>0</v>
      </c>
      <c r="R145" s="22">
        <f t="shared" si="26"/>
        <v>17.3</v>
      </c>
      <c r="S145" s="22">
        <f t="shared" si="24"/>
        <v>17.3</v>
      </c>
    </row>
    <row r="146" spans="1:19" ht="27" customHeight="1" x14ac:dyDescent="0.25">
      <c r="A146" s="61" t="s">
        <v>220</v>
      </c>
      <c r="B146" s="60" t="s">
        <v>503</v>
      </c>
      <c r="C146" s="43">
        <v>0</v>
      </c>
      <c r="D146" s="38">
        <v>0</v>
      </c>
      <c r="E146" s="39">
        <v>0</v>
      </c>
      <c r="F146" s="39">
        <v>0</v>
      </c>
      <c r="G146" s="40">
        <v>0</v>
      </c>
      <c r="H146" s="43">
        <f t="shared" si="25"/>
        <v>0</v>
      </c>
      <c r="I146" s="38">
        <v>0</v>
      </c>
      <c r="J146" s="39">
        <v>0</v>
      </c>
      <c r="K146" s="39">
        <v>0</v>
      </c>
      <c r="L146" s="40">
        <v>0</v>
      </c>
      <c r="M146" s="22">
        <f t="shared" si="20"/>
        <v>0</v>
      </c>
      <c r="N146" s="38">
        <v>2</v>
      </c>
      <c r="O146" s="39">
        <v>2</v>
      </c>
      <c r="P146" s="39">
        <v>2</v>
      </c>
      <c r="Q146" s="21">
        <v>2.1</v>
      </c>
      <c r="R146" s="22">
        <f t="shared" si="26"/>
        <v>8.1</v>
      </c>
      <c r="S146" s="22">
        <f t="shared" si="24"/>
        <v>8.1</v>
      </c>
    </row>
    <row r="147" spans="1:19" ht="15" customHeight="1" x14ac:dyDescent="0.25">
      <c r="A147" s="61" t="s">
        <v>221</v>
      </c>
      <c r="B147" s="60" t="s">
        <v>504</v>
      </c>
      <c r="C147" s="43">
        <v>0</v>
      </c>
      <c r="D147" s="38">
        <v>0</v>
      </c>
      <c r="E147" s="39">
        <v>0</v>
      </c>
      <c r="F147" s="39">
        <v>0</v>
      </c>
      <c r="G147" s="40">
        <v>0</v>
      </c>
      <c r="H147" s="43">
        <f>+SUM(D147:G147)</f>
        <v>0</v>
      </c>
      <c r="I147" s="38">
        <v>0</v>
      </c>
      <c r="J147" s="39">
        <v>0</v>
      </c>
      <c r="K147" s="39">
        <v>0</v>
      </c>
      <c r="L147" s="40">
        <v>0</v>
      </c>
      <c r="M147" s="22">
        <f>+SUM(I147:L147)</f>
        <v>0</v>
      </c>
      <c r="N147" s="38">
        <v>0</v>
      </c>
      <c r="O147" s="39">
        <v>0</v>
      </c>
      <c r="P147" s="39">
        <v>0</v>
      </c>
      <c r="Q147" s="21">
        <v>4.2</v>
      </c>
      <c r="R147" s="22">
        <f t="shared" si="26"/>
        <v>4.2</v>
      </c>
      <c r="S147" s="22">
        <f t="shared" si="24"/>
        <v>4.2</v>
      </c>
    </row>
    <row r="148" spans="1:19" ht="15" customHeight="1" x14ac:dyDescent="0.25">
      <c r="A148" s="61" t="s">
        <v>222</v>
      </c>
      <c r="B148" s="60" t="s">
        <v>505</v>
      </c>
      <c r="C148" s="43">
        <v>0</v>
      </c>
      <c r="D148" s="38">
        <v>0</v>
      </c>
      <c r="E148" s="39">
        <v>0</v>
      </c>
      <c r="F148" s="39">
        <v>0</v>
      </c>
      <c r="G148" s="40">
        <v>0</v>
      </c>
      <c r="H148" s="43">
        <f t="shared" ref="H148:H156" si="27">SUM(D148:G148)</f>
        <v>0</v>
      </c>
      <c r="I148" s="38">
        <v>0</v>
      </c>
      <c r="J148" s="39">
        <v>0</v>
      </c>
      <c r="K148" s="39">
        <v>0</v>
      </c>
      <c r="L148" s="40">
        <v>0</v>
      </c>
      <c r="M148" s="22">
        <f t="shared" ref="M148:M156" si="28">SUM(I148:L148)</f>
        <v>0</v>
      </c>
      <c r="N148" s="38">
        <v>0</v>
      </c>
      <c r="O148" s="39">
        <v>5</v>
      </c>
      <c r="P148" s="39">
        <v>10</v>
      </c>
      <c r="Q148" s="21">
        <v>7.9</v>
      </c>
      <c r="R148" s="22">
        <f t="shared" si="26"/>
        <v>22.9</v>
      </c>
      <c r="S148" s="22">
        <f t="shared" si="24"/>
        <v>22.9</v>
      </c>
    </row>
    <row r="149" spans="1:19" ht="15" customHeight="1" x14ac:dyDescent="0.25">
      <c r="A149" s="61" t="s">
        <v>223</v>
      </c>
      <c r="B149" s="60" t="s">
        <v>224</v>
      </c>
      <c r="C149" s="43">
        <v>0</v>
      </c>
      <c r="D149" s="38">
        <v>0</v>
      </c>
      <c r="E149" s="39">
        <v>0</v>
      </c>
      <c r="F149" s="39">
        <v>0</v>
      </c>
      <c r="G149" s="40">
        <v>0</v>
      </c>
      <c r="H149" s="43">
        <f t="shared" si="27"/>
        <v>0</v>
      </c>
      <c r="I149" s="38">
        <v>0</v>
      </c>
      <c r="J149" s="39">
        <v>0</v>
      </c>
      <c r="K149" s="39">
        <v>0</v>
      </c>
      <c r="L149" s="40">
        <v>0</v>
      </c>
      <c r="M149" s="22">
        <f t="shared" si="28"/>
        <v>0</v>
      </c>
      <c r="N149" s="38">
        <v>0</v>
      </c>
      <c r="O149" s="39">
        <v>0</v>
      </c>
      <c r="P149" s="39">
        <v>0</v>
      </c>
      <c r="Q149" s="21">
        <v>6.75</v>
      </c>
      <c r="R149" s="22">
        <f t="shared" si="26"/>
        <v>6.75</v>
      </c>
      <c r="S149" s="22">
        <f t="shared" si="24"/>
        <v>6.75</v>
      </c>
    </row>
    <row r="150" spans="1:19" ht="15" customHeight="1" x14ac:dyDescent="0.25">
      <c r="A150" s="61" t="s">
        <v>225</v>
      </c>
      <c r="B150" s="60" t="s">
        <v>506</v>
      </c>
      <c r="C150" s="43">
        <v>0</v>
      </c>
      <c r="D150" s="38">
        <v>0</v>
      </c>
      <c r="E150" s="39">
        <v>0</v>
      </c>
      <c r="F150" s="39">
        <v>0</v>
      </c>
      <c r="G150" s="40">
        <v>0</v>
      </c>
      <c r="H150" s="43">
        <f t="shared" si="27"/>
        <v>0</v>
      </c>
      <c r="I150" s="38">
        <v>0</v>
      </c>
      <c r="J150" s="39">
        <v>0</v>
      </c>
      <c r="K150" s="39">
        <v>0</v>
      </c>
      <c r="L150" s="40">
        <v>0</v>
      </c>
      <c r="M150" s="22">
        <f t="shared" si="28"/>
        <v>0</v>
      </c>
      <c r="N150" s="38">
        <v>0</v>
      </c>
      <c r="O150" s="39">
        <v>0</v>
      </c>
      <c r="P150" s="39">
        <v>2</v>
      </c>
      <c r="Q150" s="21">
        <v>7</v>
      </c>
      <c r="R150" s="22">
        <f t="shared" si="26"/>
        <v>9</v>
      </c>
      <c r="S150" s="22">
        <f t="shared" si="24"/>
        <v>9</v>
      </c>
    </row>
    <row r="151" spans="1:19" ht="15" customHeight="1" x14ac:dyDescent="0.25">
      <c r="A151" s="61" t="s">
        <v>226</v>
      </c>
      <c r="B151" s="60" t="s">
        <v>507</v>
      </c>
      <c r="C151" s="43">
        <v>0</v>
      </c>
      <c r="D151" s="38">
        <v>0</v>
      </c>
      <c r="E151" s="39">
        <v>0</v>
      </c>
      <c r="F151" s="39">
        <v>0</v>
      </c>
      <c r="G151" s="40">
        <v>0</v>
      </c>
      <c r="H151" s="43">
        <f t="shared" si="27"/>
        <v>0</v>
      </c>
      <c r="I151" s="38">
        <v>0</v>
      </c>
      <c r="J151" s="39">
        <v>0</v>
      </c>
      <c r="K151" s="39">
        <v>0</v>
      </c>
      <c r="L151" s="40">
        <v>0</v>
      </c>
      <c r="M151" s="22">
        <f t="shared" si="28"/>
        <v>0</v>
      </c>
      <c r="N151" s="38">
        <v>0</v>
      </c>
      <c r="O151" s="39">
        <v>10</v>
      </c>
      <c r="P151" s="39">
        <v>10</v>
      </c>
      <c r="Q151" s="21">
        <v>24.1</v>
      </c>
      <c r="R151" s="22">
        <f t="shared" si="26"/>
        <v>44.1</v>
      </c>
      <c r="S151" s="22">
        <f t="shared" si="24"/>
        <v>44.1</v>
      </c>
    </row>
    <row r="152" spans="1:19" ht="25.5" customHeight="1" x14ac:dyDescent="0.25">
      <c r="A152" s="61" t="s">
        <v>227</v>
      </c>
      <c r="B152" s="60" t="s">
        <v>228</v>
      </c>
      <c r="C152" s="43">
        <v>0</v>
      </c>
      <c r="D152" s="38">
        <v>0</v>
      </c>
      <c r="E152" s="39">
        <v>0</v>
      </c>
      <c r="F152" s="39">
        <v>0</v>
      </c>
      <c r="G152" s="40">
        <v>0</v>
      </c>
      <c r="H152" s="43">
        <f t="shared" si="27"/>
        <v>0</v>
      </c>
      <c r="I152" s="38">
        <v>0</v>
      </c>
      <c r="J152" s="39">
        <v>0</v>
      </c>
      <c r="K152" s="39">
        <v>0</v>
      </c>
      <c r="L152" s="40">
        <v>0</v>
      </c>
      <c r="M152" s="22">
        <f t="shared" si="28"/>
        <v>0</v>
      </c>
      <c r="N152" s="38">
        <v>1</v>
      </c>
      <c r="O152" s="39">
        <v>1</v>
      </c>
      <c r="P152" s="39">
        <v>2.5</v>
      </c>
      <c r="Q152" s="21">
        <v>4.71</v>
      </c>
      <c r="R152" s="22">
        <f t="shared" si="26"/>
        <v>9.2100000000000009</v>
      </c>
      <c r="S152" s="22">
        <f t="shared" si="24"/>
        <v>9.2100000000000009</v>
      </c>
    </row>
    <row r="153" spans="1:19" ht="15" customHeight="1" x14ac:dyDescent="0.25">
      <c r="A153" s="61" t="s">
        <v>229</v>
      </c>
      <c r="B153" s="60" t="s">
        <v>230</v>
      </c>
      <c r="C153" s="43">
        <v>0</v>
      </c>
      <c r="D153" s="38">
        <v>0</v>
      </c>
      <c r="E153" s="39">
        <v>0</v>
      </c>
      <c r="F153" s="39">
        <v>0</v>
      </c>
      <c r="G153" s="40">
        <v>0</v>
      </c>
      <c r="H153" s="43">
        <f t="shared" si="27"/>
        <v>0</v>
      </c>
      <c r="I153" s="38">
        <v>0</v>
      </c>
      <c r="J153" s="39">
        <v>0</v>
      </c>
      <c r="K153" s="39">
        <v>0</v>
      </c>
      <c r="L153" s="40">
        <v>0</v>
      </c>
      <c r="M153" s="22">
        <f t="shared" si="28"/>
        <v>0</v>
      </c>
      <c r="N153" s="38">
        <v>5</v>
      </c>
      <c r="O153" s="39">
        <v>6.3</v>
      </c>
      <c r="P153" s="39">
        <v>0</v>
      </c>
      <c r="Q153" s="21">
        <v>0</v>
      </c>
      <c r="R153" s="22">
        <f t="shared" si="26"/>
        <v>11.3</v>
      </c>
      <c r="S153" s="22">
        <f t="shared" si="24"/>
        <v>11.3</v>
      </c>
    </row>
    <row r="154" spans="1:19" ht="25.5" customHeight="1" x14ac:dyDescent="0.25">
      <c r="A154" s="61" t="s">
        <v>231</v>
      </c>
      <c r="B154" s="60" t="s">
        <v>508</v>
      </c>
      <c r="C154" s="43">
        <v>0</v>
      </c>
      <c r="D154" s="38">
        <v>0</v>
      </c>
      <c r="E154" s="39">
        <v>0</v>
      </c>
      <c r="F154" s="39">
        <v>0</v>
      </c>
      <c r="G154" s="40">
        <v>0</v>
      </c>
      <c r="H154" s="43">
        <f t="shared" si="27"/>
        <v>0</v>
      </c>
      <c r="I154" s="38">
        <v>0</v>
      </c>
      <c r="J154" s="39">
        <v>0</v>
      </c>
      <c r="K154" s="39">
        <v>0</v>
      </c>
      <c r="L154" s="40">
        <v>0</v>
      </c>
      <c r="M154" s="22">
        <f t="shared" si="28"/>
        <v>0</v>
      </c>
      <c r="N154" s="38">
        <v>2</v>
      </c>
      <c r="O154" s="39">
        <v>2</v>
      </c>
      <c r="P154" s="39">
        <v>5</v>
      </c>
      <c r="Q154" s="21">
        <v>8.1</v>
      </c>
      <c r="R154" s="22">
        <f t="shared" si="26"/>
        <v>17.100000000000001</v>
      </c>
      <c r="S154" s="22">
        <f t="shared" si="24"/>
        <v>17.100000000000001</v>
      </c>
    </row>
    <row r="155" spans="1:19" ht="16.5" customHeight="1" x14ac:dyDescent="0.25">
      <c r="A155" s="61" t="s">
        <v>232</v>
      </c>
      <c r="B155" s="60" t="s">
        <v>532</v>
      </c>
      <c r="C155" s="43">
        <v>0</v>
      </c>
      <c r="D155" s="38">
        <v>0</v>
      </c>
      <c r="E155" s="39">
        <v>0</v>
      </c>
      <c r="F155" s="39">
        <v>0</v>
      </c>
      <c r="G155" s="40">
        <v>0</v>
      </c>
      <c r="H155" s="43">
        <f t="shared" si="27"/>
        <v>0</v>
      </c>
      <c r="I155" s="38">
        <v>0</v>
      </c>
      <c r="J155" s="39">
        <v>0</v>
      </c>
      <c r="K155" s="39">
        <v>0</v>
      </c>
      <c r="L155" s="40">
        <v>0</v>
      </c>
      <c r="M155" s="22">
        <f t="shared" si="28"/>
        <v>0</v>
      </c>
      <c r="N155" s="38">
        <v>0</v>
      </c>
      <c r="O155" s="39">
        <v>5.84</v>
      </c>
      <c r="P155" s="39">
        <v>3</v>
      </c>
      <c r="Q155" s="21">
        <v>0</v>
      </c>
      <c r="R155" s="22">
        <f t="shared" si="26"/>
        <v>8.84</v>
      </c>
      <c r="S155" s="22">
        <f t="shared" si="24"/>
        <v>8.84</v>
      </c>
    </row>
    <row r="156" spans="1:19" ht="26.25" customHeight="1" x14ac:dyDescent="0.25">
      <c r="A156" s="63"/>
      <c r="B156" s="64" t="s">
        <v>233</v>
      </c>
      <c r="C156" s="43">
        <f>SUM(C109:C155)</f>
        <v>171.89767999999992</v>
      </c>
      <c r="D156" s="45">
        <f>SUM(D109:D155)</f>
        <v>0</v>
      </c>
      <c r="E156" s="46">
        <f>SUM(E109:E155)</f>
        <v>50</v>
      </c>
      <c r="F156" s="46">
        <f>SUM(F109:F155)</f>
        <v>57.890000000000008</v>
      </c>
      <c r="G156" s="47">
        <f>SUM(G109:G155)</f>
        <v>195.04000000000002</v>
      </c>
      <c r="H156" s="43">
        <f t="shared" si="27"/>
        <v>302.93000000000006</v>
      </c>
      <c r="I156" s="45">
        <f>SUM(I109:I155)</f>
        <v>69.11</v>
      </c>
      <c r="J156" s="46">
        <f>SUM(J109:J155)</f>
        <v>160.69999999999999</v>
      </c>
      <c r="K156" s="46">
        <f>SUM(K109:K155)</f>
        <v>355.43</v>
      </c>
      <c r="L156" s="47">
        <f>SUM(L109:L155)</f>
        <v>294.72999999999996</v>
      </c>
      <c r="M156" s="22">
        <f t="shared" si="28"/>
        <v>879.97</v>
      </c>
      <c r="N156" s="45">
        <f>SUM(N109:N155)</f>
        <v>53.3</v>
      </c>
      <c r="O156" s="46">
        <f>SUM(O109:O155)</f>
        <v>114.14</v>
      </c>
      <c r="P156" s="46">
        <f>SUM(P109:P155)</f>
        <v>334.8</v>
      </c>
      <c r="Q156" s="47">
        <f>SUM(Q109:Q155)</f>
        <v>432.07000000000005</v>
      </c>
      <c r="R156" s="22">
        <f t="shared" si="26"/>
        <v>934.31000000000006</v>
      </c>
      <c r="S156" s="22">
        <f t="shared" si="24"/>
        <v>2117.21</v>
      </c>
    </row>
    <row r="157" spans="1:19" ht="15" customHeight="1" x14ac:dyDescent="0.25">
      <c r="A157" s="16"/>
      <c r="B157" s="58" t="s">
        <v>234</v>
      </c>
      <c r="C157" s="43"/>
      <c r="D157" s="45"/>
      <c r="E157" s="46"/>
      <c r="F157" s="46"/>
      <c r="G157" s="47"/>
      <c r="H157" s="43"/>
      <c r="I157" s="38"/>
      <c r="J157" s="39"/>
      <c r="K157" s="39"/>
      <c r="L157" s="40"/>
      <c r="M157" s="22"/>
      <c r="N157" s="38"/>
      <c r="O157" s="39"/>
      <c r="P157" s="39"/>
      <c r="Q157" s="21"/>
      <c r="R157" s="22"/>
      <c r="S157" s="28"/>
    </row>
    <row r="158" spans="1:19" ht="26.25" customHeight="1" x14ac:dyDescent="0.25">
      <c r="A158" s="16" t="s">
        <v>235</v>
      </c>
      <c r="B158" s="42" t="s">
        <v>548</v>
      </c>
      <c r="C158" s="43">
        <v>4.3150000000000004</v>
      </c>
      <c r="D158" s="38">
        <v>0</v>
      </c>
      <c r="E158" s="39">
        <v>0</v>
      </c>
      <c r="F158" s="39">
        <v>0</v>
      </c>
      <c r="G158" s="40">
        <v>0</v>
      </c>
      <c r="H158" s="43">
        <f t="shared" ref="H158:H167" si="29">SUM(D158:G158)</f>
        <v>0</v>
      </c>
      <c r="I158" s="38">
        <v>0</v>
      </c>
      <c r="J158" s="39">
        <v>0</v>
      </c>
      <c r="K158" s="39">
        <v>0</v>
      </c>
      <c r="L158" s="40">
        <v>0</v>
      </c>
      <c r="M158" s="22">
        <f t="shared" ref="M158:M167" si="30">SUM(I158:L158)</f>
        <v>0</v>
      </c>
      <c r="N158" s="38">
        <v>0</v>
      </c>
      <c r="O158" s="39">
        <v>0</v>
      </c>
      <c r="P158" s="39">
        <v>0</v>
      </c>
      <c r="Q158" s="21">
        <v>0</v>
      </c>
      <c r="R158" s="22">
        <f t="shared" ref="R158:R167" si="31">SUM(N158:Q158)</f>
        <v>0</v>
      </c>
      <c r="S158" s="22">
        <f t="shared" ref="S158:S167" si="32">+H158+M158+R158</f>
        <v>0</v>
      </c>
    </row>
    <row r="159" spans="1:19" ht="27" customHeight="1" x14ac:dyDescent="0.25">
      <c r="A159" s="16" t="s">
        <v>237</v>
      </c>
      <c r="B159" s="42" t="s">
        <v>549</v>
      </c>
      <c r="C159" s="43">
        <v>0</v>
      </c>
      <c r="D159" s="38">
        <v>0</v>
      </c>
      <c r="E159" s="39">
        <v>0</v>
      </c>
      <c r="F159" s="39">
        <v>0</v>
      </c>
      <c r="G159" s="40">
        <v>9.5</v>
      </c>
      <c r="H159" s="43">
        <f t="shared" si="29"/>
        <v>9.5</v>
      </c>
      <c r="I159" s="38">
        <v>0</v>
      </c>
      <c r="J159" s="39">
        <v>0</v>
      </c>
      <c r="K159" s="39">
        <v>0</v>
      </c>
      <c r="L159" s="40">
        <v>0</v>
      </c>
      <c r="M159" s="22">
        <f t="shared" si="30"/>
        <v>0</v>
      </c>
      <c r="N159" s="38">
        <v>0</v>
      </c>
      <c r="O159" s="39">
        <v>0</v>
      </c>
      <c r="P159" s="39">
        <v>0</v>
      </c>
      <c r="Q159" s="21">
        <v>0</v>
      </c>
      <c r="R159" s="22">
        <f t="shared" si="31"/>
        <v>0</v>
      </c>
      <c r="S159" s="22">
        <f t="shared" si="32"/>
        <v>9.5</v>
      </c>
    </row>
    <row r="160" spans="1:19" ht="27" customHeight="1" x14ac:dyDescent="0.25">
      <c r="A160" s="16" t="s">
        <v>238</v>
      </c>
      <c r="B160" s="42" t="s">
        <v>509</v>
      </c>
      <c r="C160" s="43">
        <v>0</v>
      </c>
      <c r="D160" s="38">
        <v>0</v>
      </c>
      <c r="E160" s="39">
        <v>0</v>
      </c>
      <c r="F160" s="39">
        <v>20.74</v>
      </c>
      <c r="G160" s="40">
        <v>26.66</v>
      </c>
      <c r="H160" s="43">
        <f t="shared" si="29"/>
        <v>47.4</v>
      </c>
      <c r="I160" s="38">
        <v>0</v>
      </c>
      <c r="J160" s="39">
        <v>0</v>
      </c>
      <c r="K160" s="39">
        <v>0</v>
      </c>
      <c r="L160" s="40">
        <v>0</v>
      </c>
      <c r="M160" s="22">
        <f t="shared" si="30"/>
        <v>0</v>
      </c>
      <c r="N160" s="38">
        <v>0</v>
      </c>
      <c r="O160" s="39">
        <v>0</v>
      </c>
      <c r="P160" s="39">
        <v>0</v>
      </c>
      <c r="Q160" s="21">
        <v>0</v>
      </c>
      <c r="R160" s="22">
        <f t="shared" si="31"/>
        <v>0</v>
      </c>
      <c r="S160" s="22">
        <f t="shared" si="32"/>
        <v>47.4</v>
      </c>
    </row>
    <row r="161" spans="1:19" ht="27" customHeight="1" x14ac:dyDescent="0.25">
      <c r="A161" s="16" t="s">
        <v>239</v>
      </c>
      <c r="B161" s="42" t="s">
        <v>240</v>
      </c>
      <c r="C161" s="43">
        <v>0</v>
      </c>
      <c r="D161" s="38">
        <v>0</v>
      </c>
      <c r="E161" s="39">
        <v>0</v>
      </c>
      <c r="F161" s="39">
        <v>0</v>
      </c>
      <c r="G161" s="40">
        <v>0</v>
      </c>
      <c r="H161" s="43">
        <f t="shared" si="29"/>
        <v>0</v>
      </c>
      <c r="I161" s="38">
        <v>0</v>
      </c>
      <c r="J161" s="39">
        <v>0</v>
      </c>
      <c r="K161" s="39">
        <v>0</v>
      </c>
      <c r="L161" s="40">
        <v>0</v>
      </c>
      <c r="M161" s="22">
        <f t="shared" si="30"/>
        <v>0</v>
      </c>
      <c r="N161" s="38">
        <v>10</v>
      </c>
      <c r="O161" s="39">
        <v>20</v>
      </c>
      <c r="P161" s="39">
        <v>20</v>
      </c>
      <c r="Q161" s="21">
        <v>20</v>
      </c>
      <c r="R161" s="22">
        <f t="shared" si="31"/>
        <v>70</v>
      </c>
      <c r="S161" s="22">
        <f t="shared" si="32"/>
        <v>70</v>
      </c>
    </row>
    <row r="162" spans="1:19" ht="27" customHeight="1" x14ac:dyDescent="0.25">
      <c r="A162" s="16" t="s">
        <v>241</v>
      </c>
      <c r="B162" s="42" t="s">
        <v>510</v>
      </c>
      <c r="C162" s="43">
        <v>0</v>
      </c>
      <c r="D162" s="38">
        <v>0</v>
      </c>
      <c r="E162" s="39">
        <v>0</v>
      </c>
      <c r="F162" s="39">
        <v>0</v>
      </c>
      <c r="G162" s="40">
        <v>0</v>
      </c>
      <c r="H162" s="43">
        <f t="shared" si="29"/>
        <v>0</v>
      </c>
      <c r="I162" s="38">
        <v>0</v>
      </c>
      <c r="J162" s="39">
        <v>0</v>
      </c>
      <c r="K162" s="39">
        <v>0</v>
      </c>
      <c r="L162" s="40">
        <v>0</v>
      </c>
      <c r="M162" s="22">
        <f t="shared" si="30"/>
        <v>0</v>
      </c>
      <c r="N162" s="38">
        <v>1</v>
      </c>
      <c r="O162" s="39">
        <v>1</v>
      </c>
      <c r="P162" s="39">
        <v>1</v>
      </c>
      <c r="Q162" s="21">
        <v>1.9</v>
      </c>
      <c r="R162" s="22">
        <f t="shared" si="31"/>
        <v>4.9000000000000004</v>
      </c>
      <c r="S162" s="22">
        <f t="shared" si="32"/>
        <v>4.9000000000000004</v>
      </c>
    </row>
    <row r="163" spans="1:19" ht="39" customHeight="1" x14ac:dyDescent="0.25">
      <c r="A163" s="16" t="s">
        <v>242</v>
      </c>
      <c r="B163" s="42" t="s">
        <v>511</v>
      </c>
      <c r="C163" s="43">
        <v>0</v>
      </c>
      <c r="D163" s="38">
        <v>0</v>
      </c>
      <c r="E163" s="39">
        <v>0</v>
      </c>
      <c r="F163" s="39">
        <v>0</v>
      </c>
      <c r="G163" s="40">
        <v>0</v>
      </c>
      <c r="H163" s="43">
        <f t="shared" si="29"/>
        <v>0</v>
      </c>
      <c r="I163" s="38">
        <v>0</v>
      </c>
      <c r="J163" s="39">
        <v>10</v>
      </c>
      <c r="K163" s="39">
        <v>10</v>
      </c>
      <c r="L163" s="40">
        <v>10</v>
      </c>
      <c r="M163" s="22">
        <f t="shared" si="30"/>
        <v>30</v>
      </c>
      <c r="N163" s="38">
        <v>10</v>
      </c>
      <c r="O163" s="39">
        <v>30</v>
      </c>
      <c r="P163" s="39">
        <v>30</v>
      </c>
      <c r="Q163" s="21">
        <v>30</v>
      </c>
      <c r="R163" s="22">
        <f t="shared" si="31"/>
        <v>100</v>
      </c>
      <c r="S163" s="22">
        <f t="shared" si="32"/>
        <v>130</v>
      </c>
    </row>
    <row r="164" spans="1:19" ht="38.25" customHeight="1" x14ac:dyDescent="0.25">
      <c r="A164" s="16" t="s">
        <v>243</v>
      </c>
      <c r="B164" s="42" t="s">
        <v>244</v>
      </c>
      <c r="C164" s="43">
        <v>0</v>
      </c>
      <c r="D164" s="38">
        <v>0</v>
      </c>
      <c r="E164" s="39">
        <v>0</v>
      </c>
      <c r="F164" s="39">
        <v>0</v>
      </c>
      <c r="G164" s="40">
        <v>0</v>
      </c>
      <c r="H164" s="43">
        <f t="shared" si="29"/>
        <v>0</v>
      </c>
      <c r="I164" s="38">
        <v>0</v>
      </c>
      <c r="J164" s="39">
        <v>0</v>
      </c>
      <c r="K164" s="39">
        <v>0</v>
      </c>
      <c r="L164" s="40">
        <v>20</v>
      </c>
      <c r="M164" s="22">
        <f t="shared" si="30"/>
        <v>20</v>
      </c>
      <c r="N164" s="38">
        <v>0</v>
      </c>
      <c r="O164" s="39">
        <v>0</v>
      </c>
      <c r="P164" s="39">
        <v>0</v>
      </c>
      <c r="Q164" s="21">
        <v>0</v>
      </c>
      <c r="R164" s="22">
        <f t="shared" si="31"/>
        <v>0</v>
      </c>
      <c r="S164" s="22">
        <f t="shared" si="32"/>
        <v>20</v>
      </c>
    </row>
    <row r="165" spans="1:19" ht="40.5" customHeight="1" x14ac:dyDescent="0.25">
      <c r="A165" s="16" t="s">
        <v>245</v>
      </c>
      <c r="B165" s="42" t="s">
        <v>246</v>
      </c>
      <c r="C165" s="43">
        <f>49734.5/1000</f>
        <v>49.734499999999997</v>
      </c>
      <c r="D165" s="38">
        <v>0</v>
      </c>
      <c r="E165" s="39">
        <v>0</v>
      </c>
      <c r="F165" s="39">
        <v>0</v>
      </c>
      <c r="G165" s="40">
        <v>0</v>
      </c>
      <c r="H165" s="43">
        <f t="shared" si="29"/>
        <v>0</v>
      </c>
      <c r="I165" s="38">
        <v>0</v>
      </c>
      <c r="J165" s="39">
        <v>0</v>
      </c>
      <c r="K165" s="39">
        <v>0</v>
      </c>
      <c r="L165" s="40">
        <v>0</v>
      </c>
      <c r="M165" s="22">
        <f t="shared" si="30"/>
        <v>0</v>
      </c>
      <c r="N165" s="38">
        <v>0</v>
      </c>
      <c r="O165" s="39">
        <v>0</v>
      </c>
      <c r="P165" s="39">
        <v>0</v>
      </c>
      <c r="Q165" s="40">
        <v>0</v>
      </c>
      <c r="R165" s="22">
        <f t="shared" si="31"/>
        <v>0</v>
      </c>
      <c r="S165" s="22">
        <f t="shared" si="32"/>
        <v>0</v>
      </c>
    </row>
    <row r="166" spans="1:19" ht="27" customHeight="1" x14ac:dyDescent="0.25">
      <c r="A166" s="61"/>
      <c r="B166" s="31" t="s">
        <v>247</v>
      </c>
      <c r="C166" s="43">
        <f>SUM(C158:C165)</f>
        <v>54.049499999999995</v>
      </c>
      <c r="D166" s="45">
        <f>SUM(D158:D165)</f>
        <v>0</v>
      </c>
      <c r="E166" s="46">
        <f>SUM(E158:E165)</f>
        <v>0</v>
      </c>
      <c r="F166" s="46">
        <f>SUM(F158:F165)</f>
        <v>20.74</v>
      </c>
      <c r="G166" s="47">
        <f>SUM(G158:G165)</f>
        <v>36.159999999999997</v>
      </c>
      <c r="H166" s="43">
        <f t="shared" si="29"/>
        <v>56.899999999999991</v>
      </c>
      <c r="I166" s="45">
        <f>SUM(I158:I165)</f>
        <v>0</v>
      </c>
      <c r="J166" s="46">
        <f>SUM(J158:J165)</f>
        <v>10</v>
      </c>
      <c r="K166" s="46">
        <f>SUM(K158:K165)</f>
        <v>10</v>
      </c>
      <c r="L166" s="47">
        <f>SUM(L158:L165)</f>
        <v>30</v>
      </c>
      <c r="M166" s="22">
        <f t="shared" si="30"/>
        <v>50</v>
      </c>
      <c r="N166" s="45">
        <f>SUM(N158:N165)</f>
        <v>21</v>
      </c>
      <c r="O166" s="46">
        <f>SUM(O158:O165)</f>
        <v>51</v>
      </c>
      <c r="P166" s="46">
        <f>SUM(P158:P165)</f>
        <v>51</v>
      </c>
      <c r="Q166" s="47">
        <f>SUM(Q158:Q165)</f>
        <v>51.9</v>
      </c>
      <c r="R166" s="22">
        <f t="shared" si="31"/>
        <v>174.9</v>
      </c>
      <c r="S166" s="22">
        <f t="shared" si="32"/>
        <v>281.8</v>
      </c>
    </row>
    <row r="167" spans="1:19" ht="27.75" customHeight="1" x14ac:dyDescent="0.25">
      <c r="A167" s="65"/>
      <c r="B167" s="66" t="s">
        <v>248</v>
      </c>
      <c r="C167" s="43">
        <f>+C107+C156+C166</f>
        <v>690.22452999999985</v>
      </c>
      <c r="D167" s="45">
        <f>+D107+D156+D166</f>
        <v>0</v>
      </c>
      <c r="E167" s="46">
        <f>+E107+E156+E166</f>
        <v>123.50999999999999</v>
      </c>
      <c r="F167" s="46">
        <f>+F107+F156+F166</f>
        <v>175.45000000000002</v>
      </c>
      <c r="G167" s="47">
        <f>+G107+G156+G166</f>
        <v>647.61</v>
      </c>
      <c r="H167" s="43">
        <f t="shared" si="29"/>
        <v>946.57</v>
      </c>
      <c r="I167" s="45">
        <f>+I107+I156+I166</f>
        <v>134.97</v>
      </c>
      <c r="J167" s="46">
        <f>+J107+J156+J166</f>
        <v>296.77</v>
      </c>
      <c r="K167" s="46">
        <f>+K107+K156+K166</f>
        <v>498.69</v>
      </c>
      <c r="L167" s="47">
        <f>+L107+L156+L166</f>
        <v>489.24</v>
      </c>
      <c r="M167" s="43">
        <f t="shared" si="30"/>
        <v>1419.67</v>
      </c>
      <c r="N167" s="45">
        <f>+N107+N156+N166</f>
        <v>159.5</v>
      </c>
      <c r="O167" s="46">
        <f>+O107+O156+O166</f>
        <v>291.64</v>
      </c>
      <c r="P167" s="46">
        <f>+P107+P156+P166</f>
        <v>609.29999999999995</v>
      </c>
      <c r="Q167" s="47">
        <f>+Q107+Q156+Q166</f>
        <v>778.99</v>
      </c>
      <c r="R167" s="22">
        <f t="shared" si="31"/>
        <v>1839.43</v>
      </c>
      <c r="S167" s="22">
        <f t="shared" si="32"/>
        <v>4205.67</v>
      </c>
    </row>
    <row r="168" spans="1:19" ht="15" customHeight="1" x14ac:dyDescent="0.25">
      <c r="A168" s="67" t="s">
        <v>249</v>
      </c>
      <c r="B168" s="27" t="s">
        <v>250</v>
      </c>
      <c r="C168" s="37"/>
      <c r="D168" s="38"/>
      <c r="E168" s="39"/>
      <c r="F168" s="39"/>
      <c r="G168" s="40"/>
      <c r="H168" s="22"/>
      <c r="I168" s="38"/>
      <c r="J168" s="39"/>
      <c r="K168" s="39"/>
      <c r="L168" s="40"/>
      <c r="M168" s="22"/>
      <c r="N168" s="38"/>
      <c r="O168" s="39"/>
      <c r="P168" s="39"/>
      <c r="Q168" s="21"/>
      <c r="R168" s="22"/>
      <c r="S168" s="28"/>
    </row>
    <row r="169" spans="1:19" ht="40.5" customHeight="1" x14ac:dyDescent="0.25">
      <c r="A169" s="61"/>
      <c r="B169" s="35" t="s">
        <v>512</v>
      </c>
      <c r="C169" s="37"/>
      <c r="D169" s="38"/>
      <c r="E169" s="39"/>
      <c r="F169" s="39"/>
      <c r="G169" s="40"/>
      <c r="H169" s="22"/>
      <c r="I169" s="38"/>
      <c r="J169" s="39"/>
      <c r="K169" s="39"/>
      <c r="L169" s="40"/>
      <c r="M169" s="22"/>
      <c r="N169" s="38"/>
      <c r="O169" s="39"/>
      <c r="P169" s="39"/>
      <c r="Q169" s="21"/>
      <c r="R169" s="22"/>
      <c r="S169" s="28"/>
    </row>
    <row r="170" spans="1:19" ht="29.25" customHeight="1" x14ac:dyDescent="0.25">
      <c r="A170" s="68" t="s">
        <v>251</v>
      </c>
      <c r="B170" s="42" t="s">
        <v>27</v>
      </c>
      <c r="C170" s="37">
        <f>342515.51/1000</f>
        <v>342.51551000000001</v>
      </c>
      <c r="D170" s="38">
        <v>0</v>
      </c>
      <c r="E170" s="39">
        <v>0</v>
      </c>
      <c r="F170" s="39">
        <v>376.32</v>
      </c>
      <c r="G170" s="40">
        <v>245.86</v>
      </c>
      <c r="H170" s="22">
        <f t="shared" ref="H170:H178" si="33">SUM(D170:G170)</f>
        <v>622.18000000000006</v>
      </c>
      <c r="I170" s="38">
        <v>42.07</v>
      </c>
      <c r="J170" s="39">
        <v>90.98</v>
      </c>
      <c r="K170" s="39">
        <v>57.78</v>
      </c>
      <c r="L170" s="40">
        <v>0</v>
      </c>
      <c r="M170" s="22">
        <f t="shared" ref="M170:M178" si="34">SUM(I170:L170)</f>
        <v>190.83</v>
      </c>
      <c r="N170" s="38">
        <v>0</v>
      </c>
      <c r="O170" s="39">
        <v>0</v>
      </c>
      <c r="P170" s="39">
        <v>0</v>
      </c>
      <c r="Q170" s="21">
        <v>0</v>
      </c>
      <c r="R170" s="22">
        <f>SUM(N170:Q170)</f>
        <v>0</v>
      </c>
      <c r="S170" s="22">
        <f t="shared" ref="S170:S179" si="35">+H170+M170+R170</f>
        <v>813.0100000000001</v>
      </c>
    </row>
    <row r="171" spans="1:19" ht="27" customHeight="1" x14ac:dyDescent="0.25">
      <c r="A171" s="68" t="s">
        <v>252</v>
      </c>
      <c r="B171" s="42" t="s">
        <v>253</v>
      </c>
      <c r="C171" s="37">
        <f>45463.98/1000</f>
        <v>45.463980000000006</v>
      </c>
      <c r="D171" s="38">
        <v>0</v>
      </c>
      <c r="E171" s="39">
        <v>0</v>
      </c>
      <c r="F171" s="39">
        <v>82.57</v>
      </c>
      <c r="G171" s="40">
        <v>103.63</v>
      </c>
      <c r="H171" s="22">
        <f t="shared" si="33"/>
        <v>186.2</v>
      </c>
      <c r="I171" s="38">
        <v>54.08</v>
      </c>
      <c r="J171" s="39">
        <v>185.75</v>
      </c>
      <c r="K171" s="39">
        <v>12.11</v>
      </c>
      <c r="L171" s="40">
        <v>0</v>
      </c>
      <c r="M171" s="22">
        <f t="shared" si="34"/>
        <v>251.94</v>
      </c>
      <c r="N171" s="38">
        <v>0</v>
      </c>
      <c r="O171" s="39">
        <v>0</v>
      </c>
      <c r="P171" s="39">
        <v>0</v>
      </c>
      <c r="Q171" s="21">
        <v>0</v>
      </c>
      <c r="R171" s="22">
        <v>0</v>
      </c>
      <c r="S171" s="22">
        <f t="shared" si="35"/>
        <v>438.14</v>
      </c>
    </row>
    <row r="172" spans="1:19" ht="15" customHeight="1" x14ac:dyDescent="0.25">
      <c r="A172" s="68" t="s">
        <v>254</v>
      </c>
      <c r="B172" s="42" t="s">
        <v>31</v>
      </c>
      <c r="C172" s="37">
        <f>19691.07/1000</f>
        <v>19.69107</v>
      </c>
      <c r="D172" s="38">
        <v>2.6</v>
      </c>
      <c r="E172" s="39">
        <v>17.73</v>
      </c>
      <c r="F172" s="39">
        <v>29.94</v>
      </c>
      <c r="G172" s="40">
        <v>61.91</v>
      </c>
      <c r="H172" s="22">
        <f t="shared" si="33"/>
        <v>112.18</v>
      </c>
      <c r="I172" s="38">
        <v>20.12</v>
      </c>
      <c r="J172" s="39">
        <v>39.020000000000003</v>
      </c>
      <c r="K172" s="39">
        <v>0</v>
      </c>
      <c r="L172" s="40">
        <v>5.9</v>
      </c>
      <c r="M172" s="22">
        <f t="shared" si="34"/>
        <v>65.040000000000006</v>
      </c>
      <c r="N172" s="38">
        <v>0</v>
      </c>
      <c r="O172" s="39">
        <v>0</v>
      </c>
      <c r="P172" s="39">
        <v>0</v>
      </c>
      <c r="Q172" s="21">
        <v>0</v>
      </c>
      <c r="R172" s="22">
        <f>SUM(N172:Q172)</f>
        <v>0</v>
      </c>
      <c r="S172" s="22">
        <f t="shared" si="35"/>
        <v>177.22000000000003</v>
      </c>
    </row>
    <row r="173" spans="1:19" ht="15" customHeight="1" x14ac:dyDescent="0.25">
      <c r="A173" s="68" t="s">
        <v>255</v>
      </c>
      <c r="B173" s="55" t="s">
        <v>256</v>
      </c>
      <c r="C173" s="37">
        <f>63083.89/1000</f>
        <v>63.083889999999997</v>
      </c>
      <c r="D173" s="38">
        <v>40.04</v>
      </c>
      <c r="E173" s="39">
        <v>55.75</v>
      </c>
      <c r="F173" s="39">
        <v>222.55</v>
      </c>
      <c r="G173" s="40">
        <v>141.55000000000001</v>
      </c>
      <c r="H173" s="22">
        <f t="shared" si="33"/>
        <v>459.89000000000004</v>
      </c>
      <c r="I173" s="38">
        <v>10</v>
      </c>
      <c r="J173" s="39">
        <v>23</v>
      </c>
      <c r="K173" s="39">
        <v>43.87</v>
      </c>
      <c r="L173" s="40">
        <v>31</v>
      </c>
      <c r="M173" s="22">
        <f t="shared" si="34"/>
        <v>107.87</v>
      </c>
      <c r="N173" s="38">
        <v>0</v>
      </c>
      <c r="O173" s="39">
        <v>0</v>
      </c>
      <c r="P173" s="39">
        <v>0</v>
      </c>
      <c r="Q173" s="21">
        <v>0</v>
      </c>
      <c r="R173" s="22">
        <f>SUM(N173:Q173)</f>
        <v>0</v>
      </c>
      <c r="S173" s="22">
        <f t="shared" si="35"/>
        <v>567.76</v>
      </c>
    </row>
    <row r="174" spans="1:19" ht="15" customHeight="1" x14ac:dyDescent="0.25">
      <c r="A174" s="68" t="s">
        <v>257</v>
      </c>
      <c r="B174" s="42" t="s">
        <v>35</v>
      </c>
      <c r="C174" s="37">
        <v>0</v>
      </c>
      <c r="D174" s="38">
        <v>0</v>
      </c>
      <c r="E174" s="39">
        <v>15.96</v>
      </c>
      <c r="F174" s="39">
        <v>275.98</v>
      </c>
      <c r="G174" s="40">
        <v>99.21</v>
      </c>
      <c r="H174" s="22">
        <f t="shared" si="33"/>
        <v>391.15</v>
      </c>
      <c r="I174" s="38">
        <v>6.91</v>
      </c>
      <c r="J174" s="39">
        <v>28.8</v>
      </c>
      <c r="K174" s="39">
        <v>15.94</v>
      </c>
      <c r="L174" s="40">
        <v>6.91</v>
      </c>
      <c r="M174" s="22">
        <f t="shared" si="34"/>
        <v>58.56</v>
      </c>
      <c r="N174" s="38">
        <v>0</v>
      </c>
      <c r="O174" s="39">
        <v>0</v>
      </c>
      <c r="P174" s="39">
        <v>0</v>
      </c>
      <c r="Q174" s="21">
        <v>0</v>
      </c>
      <c r="R174" s="22">
        <f>SUM(N174:Q174)</f>
        <v>0</v>
      </c>
      <c r="S174" s="22">
        <f t="shared" si="35"/>
        <v>449.71</v>
      </c>
    </row>
    <row r="175" spans="1:19" ht="15" customHeight="1" x14ac:dyDescent="0.25">
      <c r="A175" s="68" t="s">
        <v>258</v>
      </c>
      <c r="B175" s="42" t="s">
        <v>37</v>
      </c>
      <c r="C175" s="37">
        <f>55559.18/1000</f>
        <v>55.559179999999998</v>
      </c>
      <c r="D175" s="38">
        <v>0</v>
      </c>
      <c r="E175" s="39">
        <v>0</v>
      </c>
      <c r="F175" s="39">
        <v>1.64</v>
      </c>
      <c r="G175" s="40">
        <v>0</v>
      </c>
      <c r="H175" s="22">
        <f t="shared" si="33"/>
        <v>1.64</v>
      </c>
      <c r="I175" s="38">
        <v>0</v>
      </c>
      <c r="J175" s="39">
        <v>6.31</v>
      </c>
      <c r="K175" s="39">
        <v>0</v>
      </c>
      <c r="L175" s="40">
        <v>0</v>
      </c>
      <c r="M175" s="22">
        <f t="shared" si="34"/>
        <v>6.31</v>
      </c>
      <c r="N175" s="38">
        <v>0</v>
      </c>
      <c r="O175" s="39">
        <v>0</v>
      </c>
      <c r="P175" s="39">
        <v>0</v>
      </c>
      <c r="Q175" s="21">
        <v>0</v>
      </c>
      <c r="R175" s="22">
        <v>0</v>
      </c>
      <c r="S175" s="22">
        <f t="shared" si="35"/>
        <v>7.9499999999999993</v>
      </c>
    </row>
    <row r="176" spans="1:19" ht="15" customHeight="1" x14ac:dyDescent="0.25">
      <c r="A176" s="68" t="s">
        <v>259</v>
      </c>
      <c r="B176" s="42" t="s">
        <v>260</v>
      </c>
      <c r="C176" s="37">
        <f>102877.06/1000</f>
        <v>102.87706</v>
      </c>
      <c r="D176" s="38">
        <v>34.25</v>
      </c>
      <c r="E176" s="39">
        <v>9.3000000000000007</v>
      </c>
      <c r="F176" s="39">
        <v>24.82</v>
      </c>
      <c r="G176" s="40">
        <v>0</v>
      </c>
      <c r="H176" s="22">
        <f t="shared" si="33"/>
        <v>68.37</v>
      </c>
      <c r="I176" s="38">
        <v>0</v>
      </c>
      <c r="J176" s="39">
        <v>7.56</v>
      </c>
      <c r="K176" s="39">
        <v>11.5</v>
      </c>
      <c r="L176" s="40">
        <v>0</v>
      </c>
      <c r="M176" s="22">
        <f t="shared" si="34"/>
        <v>19.059999999999999</v>
      </c>
      <c r="N176" s="38">
        <v>0</v>
      </c>
      <c r="O176" s="39">
        <v>0</v>
      </c>
      <c r="P176" s="39">
        <v>0</v>
      </c>
      <c r="Q176" s="21">
        <v>0</v>
      </c>
      <c r="R176" s="22">
        <v>0</v>
      </c>
      <c r="S176" s="22">
        <f t="shared" si="35"/>
        <v>87.43</v>
      </c>
    </row>
    <row r="177" spans="1:19" ht="15" customHeight="1" x14ac:dyDescent="0.25">
      <c r="A177" s="68" t="s">
        <v>261</v>
      </c>
      <c r="B177" s="55" t="s">
        <v>513</v>
      </c>
      <c r="C177" s="37">
        <f>15084.32/1000</f>
        <v>15.08432</v>
      </c>
      <c r="D177" s="38">
        <v>0</v>
      </c>
      <c r="E177" s="39">
        <v>0</v>
      </c>
      <c r="F177" s="39">
        <v>0</v>
      </c>
      <c r="G177" s="40">
        <v>0</v>
      </c>
      <c r="H177" s="22">
        <f t="shared" si="33"/>
        <v>0</v>
      </c>
      <c r="I177" s="38">
        <v>0</v>
      </c>
      <c r="J177" s="39">
        <v>0</v>
      </c>
      <c r="K177" s="39">
        <v>0</v>
      </c>
      <c r="L177" s="40">
        <v>0</v>
      </c>
      <c r="M177" s="22">
        <f t="shared" si="34"/>
        <v>0</v>
      </c>
      <c r="N177" s="38">
        <v>0</v>
      </c>
      <c r="O177" s="39">
        <v>0</v>
      </c>
      <c r="P177" s="39">
        <v>0</v>
      </c>
      <c r="Q177" s="21">
        <v>0</v>
      </c>
      <c r="R177" s="22">
        <v>0</v>
      </c>
      <c r="S177" s="22">
        <f t="shared" si="35"/>
        <v>0</v>
      </c>
    </row>
    <row r="178" spans="1:19" ht="27" customHeight="1" x14ac:dyDescent="0.25">
      <c r="A178" s="68" t="s">
        <v>262</v>
      </c>
      <c r="B178" s="55" t="s">
        <v>263</v>
      </c>
      <c r="C178" s="37">
        <f>11070.63/1000</f>
        <v>11.07063</v>
      </c>
      <c r="D178" s="38">
        <v>0.69</v>
      </c>
      <c r="E178" s="39">
        <v>0.69</v>
      </c>
      <c r="F178" s="39">
        <v>12.15</v>
      </c>
      <c r="G178" s="40">
        <v>0.67</v>
      </c>
      <c r="H178" s="22">
        <f t="shared" si="33"/>
        <v>14.200000000000001</v>
      </c>
      <c r="I178" s="38">
        <v>18.940000000000001</v>
      </c>
      <c r="J178" s="39">
        <v>3.42</v>
      </c>
      <c r="K178" s="39">
        <v>9.09</v>
      </c>
      <c r="L178" s="40">
        <v>1.77</v>
      </c>
      <c r="M178" s="22">
        <f t="shared" si="34"/>
        <v>33.22</v>
      </c>
      <c r="N178" s="38">
        <v>0</v>
      </c>
      <c r="O178" s="39">
        <v>0</v>
      </c>
      <c r="P178" s="39">
        <v>0</v>
      </c>
      <c r="Q178" s="21">
        <v>0</v>
      </c>
      <c r="R178" s="22">
        <f>SUM(N178:Q178)</f>
        <v>0</v>
      </c>
      <c r="S178" s="22">
        <f t="shared" si="35"/>
        <v>47.42</v>
      </c>
    </row>
    <row r="179" spans="1:19" ht="38.25" customHeight="1" x14ac:dyDescent="0.25">
      <c r="A179" s="61"/>
      <c r="B179" s="31" t="s">
        <v>264</v>
      </c>
      <c r="C179" s="43">
        <f t="shared" ref="C179:R179" si="36">SUM(C170:C178)</f>
        <v>655.34564000000012</v>
      </c>
      <c r="D179" s="45">
        <f t="shared" si="36"/>
        <v>77.58</v>
      </c>
      <c r="E179" s="46">
        <f t="shared" si="36"/>
        <v>99.429999999999993</v>
      </c>
      <c r="F179" s="46">
        <f t="shared" si="36"/>
        <v>1025.97</v>
      </c>
      <c r="G179" s="47">
        <f t="shared" si="36"/>
        <v>652.83000000000004</v>
      </c>
      <c r="H179" s="43">
        <f t="shared" si="36"/>
        <v>1855.8100000000006</v>
      </c>
      <c r="I179" s="45">
        <f t="shared" si="36"/>
        <v>152.12</v>
      </c>
      <c r="J179" s="46">
        <f t="shared" si="36"/>
        <v>384.84000000000003</v>
      </c>
      <c r="K179" s="46">
        <f t="shared" si="36"/>
        <v>150.29</v>
      </c>
      <c r="L179" s="47">
        <f t="shared" si="36"/>
        <v>45.580000000000005</v>
      </c>
      <c r="M179" s="43">
        <f t="shared" si="36"/>
        <v>732.82999999999993</v>
      </c>
      <c r="N179" s="45">
        <f t="shared" si="36"/>
        <v>0</v>
      </c>
      <c r="O179" s="46">
        <f t="shared" si="36"/>
        <v>0</v>
      </c>
      <c r="P179" s="46">
        <f t="shared" si="36"/>
        <v>0</v>
      </c>
      <c r="Q179" s="47">
        <f t="shared" si="36"/>
        <v>0</v>
      </c>
      <c r="R179" s="43">
        <f t="shared" si="36"/>
        <v>0</v>
      </c>
      <c r="S179" s="22">
        <f t="shared" si="35"/>
        <v>2588.6400000000003</v>
      </c>
    </row>
    <row r="180" spans="1:19" ht="15" customHeight="1" x14ac:dyDescent="0.25">
      <c r="A180" s="61"/>
      <c r="B180" s="35" t="s">
        <v>265</v>
      </c>
      <c r="C180" s="37"/>
      <c r="D180" s="38"/>
      <c r="E180" s="39"/>
      <c r="F180" s="39"/>
      <c r="G180" s="40"/>
      <c r="H180" s="22"/>
      <c r="I180" s="38"/>
      <c r="J180" s="39"/>
      <c r="K180" s="39"/>
      <c r="L180" s="40"/>
      <c r="M180" s="22"/>
      <c r="N180" s="38"/>
      <c r="O180" s="39"/>
      <c r="P180" s="39"/>
      <c r="Q180" s="21"/>
      <c r="R180" s="22"/>
      <c r="S180" s="22"/>
    </row>
    <row r="181" spans="1:19" ht="15" customHeight="1" x14ac:dyDescent="0.25">
      <c r="A181" s="70" t="s">
        <v>266</v>
      </c>
      <c r="B181" s="36" t="s">
        <v>514</v>
      </c>
      <c r="C181" s="37">
        <v>0</v>
      </c>
      <c r="D181" s="38">
        <v>0</v>
      </c>
      <c r="E181" s="39">
        <v>0</v>
      </c>
      <c r="F181" s="39">
        <v>0</v>
      </c>
      <c r="G181" s="40">
        <v>0</v>
      </c>
      <c r="H181" s="22">
        <v>0</v>
      </c>
      <c r="I181" s="38">
        <v>25.24</v>
      </c>
      <c r="J181" s="39">
        <v>31.13</v>
      </c>
      <c r="K181" s="39">
        <v>3.13</v>
      </c>
      <c r="L181" s="40">
        <v>3.13</v>
      </c>
      <c r="M181" s="22">
        <f>SUM(I181:L181)</f>
        <v>62.63</v>
      </c>
      <c r="N181" s="38">
        <v>0</v>
      </c>
      <c r="O181" s="39">
        <v>0</v>
      </c>
      <c r="P181" s="39">
        <v>0</v>
      </c>
      <c r="Q181" s="21">
        <v>0</v>
      </c>
      <c r="R181" s="22">
        <f>SUM(N181:Q181)</f>
        <v>0</v>
      </c>
      <c r="S181" s="22">
        <f t="shared" ref="S181:S187" si="37">+H181+M181+R181</f>
        <v>62.63</v>
      </c>
    </row>
    <row r="182" spans="1:19" ht="15" customHeight="1" x14ac:dyDescent="0.25">
      <c r="A182" s="70" t="s">
        <v>267</v>
      </c>
      <c r="B182" s="36" t="s">
        <v>516</v>
      </c>
      <c r="C182" s="37">
        <v>0</v>
      </c>
      <c r="D182" s="38">
        <v>0</v>
      </c>
      <c r="E182" s="39">
        <v>0</v>
      </c>
      <c r="F182" s="39">
        <v>0</v>
      </c>
      <c r="G182" s="40">
        <v>30.2</v>
      </c>
      <c r="H182" s="22">
        <f>SUM(D182:G182)</f>
        <v>30.2</v>
      </c>
      <c r="I182" s="38">
        <v>0.67</v>
      </c>
      <c r="J182" s="39">
        <v>1.71</v>
      </c>
      <c r="K182" s="39">
        <v>1.71</v>
      </c>
      <c r="L182" s="40">
        <v>0</v>
      </c>
      <c r="M182" s="22">
        <f>SUM(I182:L182)</f>
        <v>4.09</v>
      </c>
      <c r="N182" s="38">
        <v>0</v>
      </c>
      <c r="O182" s="39">
        <v>0</v>
      </c>
      <c r="P182" s="39">
        <v>0</v>
      </c>
      <c r="Q182" s="21">
        <v>0</v>
      </c>
      <c r="R182" s="22">
        <f>SUM(N182:Q182)</f>
        <v>0</v>
      </c>
      <c r="S182" s="22">
        <f t="shared" si="37"/>
        <v>34.29</v>
      </c>
    </row>
    <row r="183" spans="1:19" ht="26.25" customHeight="1" x14ac:dyDescent="0.25">
      <c r="A183" s="70" t="s">
        <v>268</v>
      </c>
      <c r="B183" s="36" t="s">
        <v>515</v>
      </c>
      <c r="C183" s="37">
        <v>0</v>
      </c>
      <c r="D183" s="38">
        <v>0</v>
      </c>
      <c r="E183" s="39">
        <v>0</v>
      </c>
      <c r="F183" s="39">
        <v>0</v>
      </c>
      <c r="G183" s="40">
        <v>0</v>
      </c>
      <c r="H183" s="22">
        <f>SUM(D183:G183)</f>
        <v>0</v>
      </c>
      <c r="I183" s="38">
        <v>0</v>
      </c>
      <c r="J183" s="39">
        <v>0</v>
      </c>
      <c r="K183" s="39">
        <v>0</v>
      </c>
      <c r="L183" s="40">
        <v>0</v>
      </c>
      <c r="M183" s="22">
        <f>SUM(I183:L183)</f>
        <v>0</v>
      </c>
      <c r="N183" s="38">
        <v>0</v>
      </c>
      <c r="O183" s="39">
        <v>0</v>
      </c>
      <c r="P183" s="39">
        <v>0</v>
      </c>
      <c r="Q183" s="21">
        <v>194</v>
      </c>
      <c r="R183" s="22">
        <f>SUM(N183:Q183)</f>
        <v>194</v>
      </c>
      <c r="S183" s="22">
        <f t="shared" si="37"/>
        <v>194</v>
      </c>
    </row>
    <row r="184" spans="1:19" ht="15" customHeight="1" x14ac:dyDescent="0.25">
      <c r="A184" s="70" t="s">
        <v>269</v>
      </c>
      <c r="B184" s="36" t="s">
        <v>517</v>
      </c>
      <c r="C184" s="37">
        <v>0</v>
      </c>
      <c r="D184" s="38">
        <v>0</v>
      </c>
      <c r="E184" s="39">
        <v>0</v>
      </c>
      <c r="F184" s="39">
        <v>0</v>
      </c>
      <c r="G184" s="40">
        <v>0</v>
      </c>
      <c r="H184" s="22">
        <v>0</v>
      </c>
      <c r="I184" s="38">
        <v>0</v>
      </c>
      <c r="J184" s="39">
        <v>27.29</v>
      </c>
      <c r="K184" s="39">
        <v>0</v>
      </c>
      <c r="L184" s="40">
        <v>0</v>
      </c>
      <c r="M184" s="22">
        <f>SUM(I184:L184)</f>
        <v>27.29</v>
      </c>
      <c r="N184" s="38">
        <v>0</v>
      </c>
      <c r="O184" s="39">
        <v>0</v>
      </c>
      <c r="P184" s="39">
        <v>0</v>
      </c>
      <c r="Q184" s="21">
        <v>0</v>
      </c>
      <c r="R184" s="22">
        <f>SUM(N184:Q184)</f>
        <v>0</v>
      </c>
      <c r="S184" s="22">
        <f t="shared" si="37"/>
        <v>27.29</v>
      </c>
    </row>
    <row r="185" spans="1:19" ht="51.75" customHeight="1" x14ac:dyDescent="0.25">
      <c r="A185" s="70" t="s">
        <v>270</v>
      </c>
      <c r="B185" s="36" t="s">
        <v>491</v>
      </c>
      <c r="C185" s="37">
        <v>0</v>
      </c>
      <c r="D185" s="38">
        <v>0</v>
      </c>
      <c r="E185" s="39">
        <v>0</v>
      </c>
      <c r="F185" s="39">
        <v>0</v>
      </c>
      <c r="G185" s="40">
        <v>0</v>
      </c>
      <c r="H185" s="22">
        <v>0</v>
      </c>
      <c r="I185" s="38">
        <v>27.49</v>
      </c>
      <c r="J185" s="39">
        <v>172.76</v>
      </c>
      <c r="K185" s="39">
        <v>47.16</v>
      </c>
      <c r="L185" s="40">
        <v>27.49</v>
      </c>
      <c r="M185" s="22">
        <f>SUM(I185:L185)</f>
        <v>274.89999999999998</v>
      </c>
      <c r="N185" s="38">
        <v>0</v>
      </c>
      <c r="O185" s="39">
        <v>0</v>
      </c>
      <c r="P185" s="39">
        <v>0</v>
      </c>
      <c r="Q185" s="21">
        <v>0</v>
      </c>
      <c r="R185" s="22">
        <f>SUM(N185:Q185)</f>
        <v>0</v>
      </c>
      <c r="S185" s="22">
        <f t="shared" si="37"/>
        <v>274.89999999999998</v>
      </c>
    </row>
    <row r="186" spans="1:19" ht="15" customHeight="1" x14ac:dyDescent="0.25">
      <c r="A186" s="71"/>
      <c r="B186" s="72" t="s">
        <v>271</v>
      </c>
      <c r="C186" s="37">
        <f t="shared" ref="C186:R186" si="38">SUM(C181:C185)</f>
        <v>0</v>
      </c>
      <c r="D186" s="38">
        <f t="shared" si="38"/>
        <v>0</v>
      </c>
      <c r="E186" s="39">
        <f t="shared" si="38"/>
        <v>0</v>
      </c>
      <c r="F186" s="39">
        <f t="shared" si="38"/>
        <v>0</v>
      </c>
      <c r="G186" s="40">
        <f t="shared" si="38"/>
        <v>30.2</v>
      </c>
      <c r="H186" s="43">
        <f t="shared" si="38"/>
        <v>30.2</v>
      </c>
      <c r="I186" s="45">
        <f t="shared" si="38"/>
        <v>53.4</v>
      </c>
      <c r="J186" s="46">
        <f t="shared" si="38"/>
        <v>232.89</v>
      </c>
      <c r="K186" s="46">
        <f t="shared" si="38"/>
        <v>52</v>
      </c>
      <c r="L186" s="47">
        <f t="shared" si="38"/>
        <v>30.619999999999997</v>
      </c>
      <c r="M186" s="43">
        <f t="shared" si="38"/>
        <v>368.90999999999997</v>
      </c>
      <c r="N186" s="45">
        <f t="shared" si="38"/>
        <v>0</v>
      </c>
      <c r="O186" s="46">
        <f t="shared" si="38"/>
        <v>0</v>
      </c>
      <c r="P186" s="46">
        <f t="shared" si="38"/>
        <v>0</v>
      </c>
      <c r="Q186" s="47">
        <f t="shared" si="38"/>
        <v>194</v>
      </c>
      <c r="R186" s="43">
        <f t="shared" si="38"/>
        <v>194</v>
      </c>
      <c r="S186" s="22">
        <f t="shared" si="37"/>
        <v>593.1099999999999</v>
      </c>
    </row>
    <row r="187" spans="1:19" ht="15" customHeight="1" x14ac:dyDescent="0.25">
      <c r="A187" s="73"/>
      <c r="B187" s="74" t="s">
        <v>272</v>
      </c>
      <c r="C187" s="43">
        <f>+C179+C186</f>
        <v>655.34564000000012</v>
      </c>
      <c r="D187" s="45">
        <f>+D179+D186</f>
        <v>77.58</v>
      </c>
      <c r="E187" s="46">
        <f>+E179+E186</f>
        <v>99.429999999999993</v>
      </c>
      <c r="F187" s="46">
        <f>+F179+F186</f>
        <v>1025.97</v>
      </c>
      <c r="G187" s="47">
        <f>+G179+G186</f>
        <v>683.03000000000009</v>
      </c>
      <c r="H187" s="43">
        <f>+D187+E187+F187+G187</f>
        <v>1886.0100000000002</v>
      </c>
      <c r="I187" s="45">
        <f>+I179+I186</f>
        <v>205.52</v>
      </c>
      <c r="J187" s="46">
        <f>+J179+J186</f>
        <v>617.73</v>
      </c>
      <c r="K187" s="46">
        <f>+K179+K186</f>
        <v>202.29</v>
      </c>
      <c r="L187" s="47">
        <f>+L179+L186</f>
        <v>76.2</v>
      </c>
      <c r="M187" s="22">
        <f>+I187+J187+K187+L187</f>
        <v>1101.74</v>
      </c>
      <c r="N187" s="45">
        <f>+N179+N186</f>
        <v>0</v>
      </c>
      <c r="O187" s="46">
        <f>+O179+O186</f>
        <v>0</v>
      </c>
      <c r="P187" s="46">
        <f>+P179+P186</f>
        <v>0</v>
      </c>
      <c r="Q187" s="34">
        <f>+Q179+Q186</f>
        <v>194</v>
      </c>
      <c r="R187" s="22">
        <f>+N187+O187+P187+Q187</f>
        <v>194</v>
      </c>
      <c r="S187" s="22">
        <f t="shared" si="37"/>
        <v>3181.75</v>
      </c>
    </row>
    <row r="188" spans="1:19" ht="27.75" customHeight="1" x14ac:dyDescent="0.25">
      <c r="A188" s="75" t="s">
        <v>273</v>
      </c>
      <c r="B188" s="76" t="s">
        <v>274</v>
      </c>
      <c r="C188" s="37"/>
      <c r="D188" s="38"/>
      <c r="E188" s="39"/>
      <c r="F188" s="39"/>
      <c r="G188" s="40"/>
      <c r="H188" s="22"/>
      <c r="I188" s="38"/>
      <c r="J188" s="39"/>
      <c r="K188" s="39"/>
      <c r="L188" s="40"/>
      <c r="M188" s="22"/>
      <c r="N188" s="38"/>
      <c r="O188" s="39"/>
      <c r="P188" s="39"/>
      <c r="Q188" s="21"/>
      <c r="R188" s="22"/>
      <c r="S188" s="22"/>
    </row>
    <row r="189" spans="1:19" ht="15.75" customHeight="1" x14ac:dyDescent="0.25">
      <c r="A189" s="61" t="s">
        <v>275</v>
      </c>
      <c r="B189" s="55" t="s">
        <v>554</v>
      </c>
      <c r="C189" s="37">
        <f>23047.67/1000</f>
        <v>23.047669999999997</v>
      </c>
      <c r="D189" s="38">
        <v>17.02</v>
      </c>
      <c r="E189" s="39">
        <v>8.64</v>
      </c>
      <c r="F189" s="39">
        <v>2.0299999999999998</v>
      </c>
      <c r="G189" s="40">
        <v>0</v>
      </c>
      <c r="H189" s="22">
        <f>SUM(D189:G189)</f>
        <v>27.69</v>
      </c>
      <c r="I189" s="38">
        <v>0</v>
      </c>
      <c r="J189" s="39">
        <v>0</v>
      </c>
      <c r="K189" s="39">
        <v>0</v>
      </c>
      <c r="L189" s="40">
        <v>0</v>
      </c>
      <c r="M189" s="22">
        <f t="shared" ref="M189:M221" si="39">SUM(I189:L189)</f>
        <v>0</v>
      </c>
      <c r="N189" s="38">
        <v>0</v>
      </c>
      <c r="O189" s="39">
        <v>0</v>
      </c>
      <c r="P189" s="39">
        <v>0</v>
      </c>
      <c r="Q189" s="21">
        <v>0</v>
      </c>
      <c r="R189" s="22">
        <f t="shared" ref="R189:R221" si="40">SUM(N189:Q189)</f>
        <v>0</v>
      </c>
      <c r="S189" s="22">
        <f t="shared" ref="S189:S243" si="41">+H189+M189+R189</f>
        <v>27.69</v>
      </c>
    </row>
    <row r="190" spans="1:19" ht="15" customHeight="1" x14ac:dyDescent="0.25">
      <c r="A190" s="61" t="s">
        <v>276</v>
      </c>
      <c r="B190" s="55" t="s">
        <v>550</v>
      </c>
      <c r="C190" s="37">
        <f>29581.97/1000</f>
        <v>29.581970000000002</v>
      </c>
      <c r="D190" s="38">
        <v>21.84</v>
      </c>
      <c r="E190" s="39">
        <v>9.9600000000000009</v>
      </c>
      <c r="F190" s="39">
        <v>3.73</v>
      </c>
      <c r="G190" s="40">
        <v>0</v>
      </c>
      <c r="H190" s="22">
        <f>SUM(D190:G190)</f>
        <v>35.53</v>
      </c>
      <c r="I190" s="38">
        <v>0</v>
      </c>
      <c r="J190" s="39">
        <v>0</v>
      </c>
      <c r="K190" s="39">
        <v>0</v>
      </c>
      <c r="L190" s="40">
        <v>0</v>
      </c>
      <c r="M190" s="22">
        <f t="shared" si="39"/>
        <v>0</v>
      </c>
      <c r="N190" s="38">
        <v>0</v>
      </c>
      <c r="O190" s="39">
        <v>0</v>
      </c>
      <c r="P190" s="39">
        <v>0</v>
      </c>
      <c r="Q190" s="21">
        <v>0</v>
      </c>
      <c r="R190" s="22">
        <f t="shared" si="40"/>
        <v>0</v>
      </c>
      <c r="S190" s="22">
        <f t="shared" si="41"/>
        <v>35.53</v>
      </c>
    </row>
    <row r="191" spans="1:19" ht="16.5" customHeight="1" x14ac:dyDescent="0.25">
      <c r="A191" s="71"/>
      <c r="B191" s="77" t="s">
        <v>277</v>
      </c>
      <c r="C191" s="43">
        <f t="shared" ref="C191:H191" si="42">SUM(C189:C190)</f>
        <v>52.629639999999995</v>
      </c>
      <c r="D191" s="45">
        <f t="shared" si="42"/>
        <v>38.86</v>
      </c>
      <c r="E191" s="46">
        <f t="shared" si="42"/>
        <v>18.600000000000001</v>
      </c>
      <c r="F191" s="46">
        <f t="shared" si="42"/>
        <v>5.76</v>
      </c>
      <c r="G191" s="47">
        <f t="shared" si="42"/>
        <v>0</v>
      </c>
      <c r="H191" s="43">
        <f t="shared" si="42"/>
        <v>63.22</v>
      </c>
      <c r="I191" s="45">
        <v>0</v>
      </c>
      <c r="J191" s="46">
        <v>0</v>
      </c>
      <c r="K191" s="46">
        <v>0</v>
      </c>
      <c r="L191" s="47">
        <v>0</v>
      </c>
      <c r="M191" s="22">
        <f t="shared" si="39"/>
        <v>0</v>
      </c>
      <c r="N191" s="45">
        <v>0</v>
      </c>
      <c r="O191" s="46">
        <v>0</v>
      </c>
      <c r="P191" s="46">
        <v>0</v>
      </c>
      <c r="Q191" s="34">
        <v>0</v>
      </c>
      <c r="R191" s="22">
        <f t="shared" si="40"/>
        <v>0</v>
      </c>
      <c r="S191" s="22">
        <f t="shared" si="41"/>
        <v>63.22</v>
      </c>
    </row>
    <row r="192" spans="1:19" ht="39" customHeight="1" x14ac:dyDescent="0.25">
      <c r="A192" s="78" t="s">
        <v>278</v>
      </c>
      <c r="B192" s="79" t="s">
        <v>533</v>
      </c>
      <c r="C192" s="43">
        <f>+C193+C194</f>
        <v>0</v>
      </c>
      <c r="D192" s="45">
        <f>+D193+D194</f>
        <v>0</v>
      </c>
      <c r="E192" s="46">
        <f>+E193+E194</f>
        <v>0</v>
      </c>
      <c r="F192" s="46">
        <f>+F193+F194</f>
        <v>0</v>
      </c>
      <c r="G192" s="47">
        <f>+G193+G194</f>
        <v>2605.66</v>
      </c>
      <c r="H192" s="43">
        <f t="shared" ref="H192:H202" si="43">SUM(D192:G192)</f>
        <v>2605.66</v>
      </c>
      <c r="I192" s="45">
        <f>+I193+I194</f>
        <v>0</v>
      </c>
      <c r="J192" s="46">
        <f>+J193+J194</f>
        <v>0</v>
      </c>
      <c r="K192" s="46">
        <f>+K193+K194</f>
        <v>0</v>
      </c>
      <c r="L192" s="47">
        <f>+L193+L194</f>
        <v>0</v>
      </c>
      <c r="M192" s="22">
        <f t="shared" si="39"/>
        <v>0</v>
      </c>
      <c r="N192" s="45">
        <f>+N193+N194</f>
        <v>0</v>
      </c>
      <c r="O192" s="46">
        <f>+O193+O194</f>
        <v>0</v>
      </c>
      <c r="P192" s="46">
        <f>+P193+P194</f>
        <v>0</v>
      </c>
      <c r="Q192" s="34">
        <f>+Q193+Q194</f>
        <v>0</v>
      </c>
      <c r="R192" s="22">
        <f t="shared" si="40"/>
        <v>0</v>
      </c>
      <c r="S192" s="22">
        <f t="shared" si="41"/>
        <v>2605.66</v>
      </c>
    </row>
    <row r="193" spans="1:19" ht="15" customHeight="1" x14ac:dyDescent="0.25">
      <c r="A193" s="80" t="s">
        <v>279</v>
      </c>
      <c r="B193" s="81" t="s">
        <v>280</v>
      </c>
      <c r="C193" s="43">
        <v>0</v>
      </c>
      <c r="D193" s="38">
        <v>0</v>
      </c>
      <c r="E193" s="39">
        <v>0</v>
      </c>
      <c r="F193" s="39">
        <v>0</v>
      </c>
      <c r="G193" s="40">
        <v>2299.73</v>
      </c>
      <c r="H193" s="43">
        <f t="shared" si="43"/>
        <v>2299.73</v>
      </c>
      <c r="I193" s="38">
        <v>0</v>
      </c>
      <c r="J193" s="39">
        <v>0</v>
      </c>
      <c r="K193" s="39">
        <v>0</v>
      </c>
      <c r="L193" s="40">
        <v>0</v>
      </c>
      <c r="M193" s="22">
        <f t="shared" si="39"/>
        <v>0</v>
      </c>
      <c r="N193" s="38">
        <v>0</v>
      </c>
      <c r="O193" s="39">
        <v>0</v>
      </c>
      <c r="P193" s="39">
        <v>0</v>
      </c>
      <c r="Q193" s="21">
        <v>0</v>
      </c>
      <c r="R193" s="22">
        <f t="shared" si="40"/>
        <v>0</v>
      </c>
      <c r="S193" s="22">
        <f t="shared" si="41"/>
        <v>2299.73</v>
      </c>
    </row>
    <row r="194" spans="1:19" ht="15" customHeight="1" x14ac:dyDescent="0.25">
      <c r="A194" s="80" t="s">
        <v>281</v>
      </c>
      <c r="B194" s="81" t="s">
        <v>282</v>
      </c>
      <c r="C194" s="43">
        <v>0</v>
      </c>
      <c r="D194" s="38">
        <v>0</v>
      </c>
      <c r="E194" s="39">
        <v>0</v>
      </c>
      <c r="F194" s="39">
        <v>0</v>
      </c>
      <c r="G194" s="40">
        <v>305.93</v>
      </c>
      <c r="H194" s="43">
        <f t="shared" si="43"/>
        <v>305.93</v>
      </c>
      <c r="I194" s="38">
        <v>0</v>
      </c>
      <c r="J194" s="39">
        <v>0</v>
      </c>
      <c r="K194" s="39">
        <v>0</v>
      </c>
      <c r="L194" s="40">
        <v>0</v>
      </c>
      <c r="M194" s="22">
        <f t="shared" si="39"/>
        <v>0</v>
      </c>
      <c r="N194" s="38">
        <v>0</v>
      </c>
      <c r="O194" s="39">
        <v>0</v>
      </c>
      <c r="P194" s="39">
        <v>0</v>
      </c>
      <c r="Q194" s="21">
        <v>0</v>
      </c>
      <c r="R194" s="22">
        <f t="shared" si="40"/>
        <v>0</v>
      </c>
      <c r="S194" s="22">
        <f t="shared" si="41"/>
        <v>305.93</v>
      </c>
    </row>
    <row r="195" spans="1:19" s="83" customFormat="1" ht="50.25" customHeight="1" x14ac:dyDescent="0.25">
      <c r="A195" s="82" t="s">
        <v>283</v>
      </c>
      <c r="B195" s="66" t="s">
        <v>284</v>
      </c>
      <c r="C195" s="43">
        <v>294.33999999999997</v>
      </c>
      <c r="D195" s="45">
        <v>0</v>
      </c>
      <c r="E195" s="46">
        <v>0</v>
      </c>
      <c r="F195" s="46">
        <v>0</v>
      </c>
      <c r="G195" s="47">
        <v>0</v>
      </c>
      <c r="H195" s="43">
        <f t="shared" si="43"/>
        <v>0</v>
      </c>
      <c r="I195" s="45">
        <v>0</v>
      </c>
      <c r="J195" s="46">
        <v>0</v>
      </c>
      <c r="K195" s="46">
        <v>0</v>
      </c>
      <c r="L195" s="47">
        <v>209.23</v>
      </c>
      <c r="M195" s="22">
        <f t="shared" si="39"/>
        <v>209.23</v>
      </c>
      <c r="N195" s="45">
        <v>0</v>
      </c>
      <c r="O195" s="46">
        <v>0</v>
      </c>
      <c r="P195" s="46">
        <v>4319.7700000000004</v>
      </c>
      <c r="Q195" s="34">
        <v>0</v>
      </c>
      <c r="R195" s="22">
        <f t="shared" si="40"/>
        <v>4319.7700000000004</v>
      </c>
      <c r="S195" s="22">
        <f t="shared" si="41"/>
        <v>4529</v>
      </c>
    </row>
    <row r="196" spans="1:19" ht="15" customHeight="1" x14ac:dyDescent="0.25">
      <c r="A196" s="134" t="s">
        <v>285</v>
      </c>
      <c r="B196" s="140" t="s">
        <v>286</v>
      </c>
      <c r="C196" s="141">
        <f>+C197+C311+C320+C348+C351</f>
        <v>2330.7188499999997</v>
      </c>
      <c r="D196" s="142">
        <f>+D197+D311+D320+D348+D351</f>
        <v>176.8</v>
      </c>
      <c r="E196" s="143">
        <f>+E197+E311+E320+E348+E351</f>
        <v>412.79</v>
      </c>
      <c r="F196" s="143">
        <f>+F197+F311+F320+F348+F351</f>
        <v>1631.7</v>
      </c>
      <c r="G196" s="144">
        <f>+G197+G311+G320+G348+G351</f>
        <v>4291.43</v>
      </c>
      <c r="H196" s="141">
        <f t="shared" si="43"/>
        <v>6512.72</v>
      </c>
      <c r="I196" s="142">
        <f>+I197+I311+I320+I348+I351</f>
        <v>545.46</v>
      </c>
      <c r="J196" s="143">
        <f>+J197+J311+J320+J348+J351</f>
        <v>1443.2999999999997</v>
      </c>
      <c r="K196" s="143">
        <f>+K197+K311+K320+K348+K351</f>
        <v>952.9</v>
      </c>
      <c r="L196" s="144">
        <f>+L197+L311+L320+L348+L351</f>
        <v>975.81999999999994</v>
      </c>
      <c r="M196" s="141">
        <f t="shared" si="39"/>
        <v>3917.4799999999996</v>
      </c>
      <c r="N196" s="142">
        <f>+N197+N311+N320+N348+N351</f>
        <v>223.75</v>
      </c>
      <c r="O196" s="143">
        <f>+O197+O311+O320+O348+O351</f>
        <v>355.89</v>
      </c>
      <c r="P196" s="143">
        <f>+P197+P311+P320+P348+P351</f>
        <v>4993.3200000000006</v>
      </c>
      <c r="Q196" s="144">
        <f>+Q197+Q311+Q320+Q348+Q351</f>
        <v>1231.24</v>
      </c>
      <c r="R196" s="141">
        <f t="shared" si="40"/>
        <v>6804.2000000000007</v>
      </c>
      <c r="S196" s="141">
        <f t="shared" si="41"/>
        <v>17234.400000000001</v>
      </c>
    </row>
    <row r="197" spans="1:19" ht="15" customHeight="1" x14ac:dyDescent="0.25">
      <c r="A197" s="84" t="s">
        <v>287</v>
      </c>
      <c r="B197" s="85" t="s">
        <v>288</v>
      </c>
      <c r="C197" s="22">
        <f>SUM(C198:C310)</f>
        <v>1757.3293499999997</v>
      </c>
      <c r="D197" s="32">
        <f>SUM(D198:D310)</f>
        <v>116.8</v>
      </c>
      <c r="E197" s="33">
        <f>SUM(E198:E310)</f>
        <v>352.79</v>
      </c>
      <c r="F197" s="33">
        <f>SUM(F198:F310)</f>
        <v>1550.96</v>
      </c>
      <c r="G197" s="34">
        <f>SUM(G198:G310)</f>
        <v>1589.6100000000001</v>
      </c>
      <c r="H197" s="22">
        <f t="shared" si="43"/>
        <v>3610.1600000000003</v>
      </c>
      <c r="I197" s="32">
        <f>SUM(I198:I310)</f>
        <v>482.96000000000004</v>
      </c>
      <c r="J197" s="33">
        <f>SUM(J198:J310)</f>
        <v>1370.7999999999997</v>
      </c>
      <c r="K197" s="33">
        <f>SUM(K198:K310)</f>
        <v>880.4</v>
      </c>
      <c r="L197" s="34">
        <f>SUM(L198:L310)</f>
        <v>674.08999999999992</v>
      </c>
      <c r="M197" s="22">
        <f t="shared" si="39"/>
        <v>3408.25</v>
      </c>
      <c r="N197" s="32">
        <f>SUM(N198:N310)</f>
        <v>138.5</v>
      </c>
      <c r="O197" s="33">
        <f>SUM(O198:O310)</f>
        <v>240.64000000000001</v>
      </c>
      <c r="P197" s="33">
        <f>SUM(P198:P310)</f>
        <v>558.29999999999995</v>
      </c>
      <c r="Q197" s="34">
        <f>SUM(Q198:Q310)</f>
        <v>1115.0899999999999</v>
      </c>
      <c r="R197" s="22">
        <f t="shared" si="40"/>
        <v>2052.5299999999997</v>
      </c>
      <c r="S197" s="22">
        <f t="shared" si="41"/>
        <v>9070.9399999999987</v>
      </c>
    </row>
    <row r="198" spans="1:19" ht="27" customHeight="1" x14ac:dyDescent="0.25">
      <c r="A198" s="16" t="s">
        <v>289</v>
      </c>
      <c r="B198" s="86" t="s">
        <v>290</v>
      </c>
      <c r="C198" s="37">
        <f t="shared" ref="C198:G206" si="44">+C20+C170</f>
        <v>428.14439000000004</v>
      </c>
      <c r="D198" s="38">
        <f t="shared" si="44"/>
        <v>0</v>
      </c>
      <c r="E198" s="39">
        <f t="shared" si="44"/>
        <v>0</v>
      </c>
      <c r="F198" s="39">
        <f t="shared" si="44"/>
        <v>470.39</v>
      </c>
      <c r="G198" s="40">
        <f t="shared" si="44"/>
        <v>307.33000000000004</v>
      </c>
      <c r="H198" s="22">
        <f t="shared" si="43"/>
        <v>777.72</v>
      </c>
      <c r="I198" s="38">
        <f t="shared" ref="I198:L206" si="45">+I20+I170</f>
        <v>52.6</v>
      </c>
      <c r="J198" s="39">
        <f t="shared" si="45"/>
        <v>113.72</v>
      </c>
      <c r="K198" s="39">
        <f t="shared" si="45"/>
        <v>72.22</v>
      </c>
      <c r="L198" s="40">
        <f t="shared" si="45"/>
        <v>0</v>
      </c>
      <c r="M198" s="22">
        <f t="shared" si="39"/>
        <v>238.54</v>
      </c>
      <c r="N198" s="38">
        <f t="shared" ref="N198:Q206" si="46">+N20+N170</f>
        <v>0</v>
      </c>
      <c r="O198" s="39">
        <f t="shared" si="46"/>
        <v>0</v>
      </c>
      <c r="P198" s="39">
        <f t="shared" si="46"/>
        <v>0</v>
      </c>
      <c r="Q198" s="40">
        <f t="shared" si="46"/>
        <v>0</v>
      </c>
      <c r="R198" s="22">
        <f t="shared" si="40"/>
        <v>0</v>
      </c>
      <c r="S198" s="22">
        <f t="shared" si="41"/>
        <v>1016.26</v>
      </c>
    </row>
    <row r="199" spans="1:19" ht="27.75" customHeight="1" x14ac:dyDescent="0.25">
      <c r="A199" s="16" t="s">
        <v>291</v>
      </c>
      <c r="B199" s="86" t="s">
        <v>292</v>
      </c>
      <c r="C199" s="37">
        <f t="shared" si="44"/>
        <v>90.92795000000001</v>
      </c>
      <c r="D199" s="38">
        <f t="shared" si="44"/>
        <v>0</v>
      </c>
      <c r="E199" s="39">
        <f t="shared" si="44"/>
        <v>0</v>
      </c>
      <c r="F199" s="39">
        <f t="shared" si="44"/>
        <v>166.35</v>
      </c>
      <c r="G199" s="40">
        <f t="shared" si="44"/>
        <v>207.26</v>
      </c>
      <c r="H199" s="22">
        <f t="shared" si="43"/>
        <v>373.61</v>
      </c>
      <c r="I199" s="38">
        <f t="shared" si="45"/>
        <v>108.16</v>
      </c>
      <c r="J199" s="39">
        <f t="shared" si="45"/>
        <v>371.5</v>
      </c>
      <c r="K199" s="39">
        <f t="shared" si="45"/>
        <v>24.22</v>
      </c>
      <c r="L199" s="40">
        <f t="shared" si="45"/>
        <v>0</v>
      </c>
      <c r="M199" s="22">
        <f t="shared" si="39"/>
        <v>503.88</v>
      </c>
      <c r="N199" s="38">
        <f t="shared" si="46"/>
        <v>0</v>
      </c>
      <c r="O199" s="39">
        <f t="shared" si="46"/>
        <v>0</v>
      </c>
      <c r="P199" s="39">
        <f t="shared" si="46"/>
        <v>0</v>
      </c>
      <c r="Q199" s="40">
        <f t="shared" si="46"/>
        <v>0</v>
      </c>
      <c r="R199" s="22">
        <f t="shared" si="40"/>
        <v>0</v>
      </c>
      <c r="S199" s="22">
        <f t="shared" si="41"/>
        <v>877.49</v>
      </c>
    </row>
    <row r="200" spans="1:19" ht="27.75" customHeight="1" x14ac:dyDescent="0.25">
      <c r="A200" s="16" t="s">
        <v>293</v>
      </c>
      <c r="B200" s="86" t="s">
        <v>294</v>
      </c>
      <c r="C200" s="37">
        <f t="shared" si="44"/>
        <v>39.38214</v>
      </c>
      <c r="D200" s="38">
        <f t="shared" si="44"/>
        <v>2.6</v>
      </c>
      <c r="E200" s="39">
        <f t="shared" si="44"/>
        <v>38.06</v>
      </c>
      <c r="F200" s="39">
        <f t="shared" si="44"/>
        <v>59.88</v>
      </c>
      <c r="G200" s="40">
        <f t="shared" si="44"/>
        <v>123.82</v>
      </c>
      <c r="H200" s="22">
        <f t="shared" si="43"/>
        <v>224.36</v>
      </c>
      <c r="I200" s="38">
        <f t="shared" si="45"/>
        <v>40.24</v>
      </c>
      <c r="J200" s="39">
        <f t="shared" si="45"/>
        <v>78.040000000000006</v>
      </c>
      <c r="K200" s="39">
        <f t="shared" si="45"/>
        <v>0</v>
      </c>
      <c r="L200" s="40">
        <f t="shared" si="45"/>
        <v>11.8</v>
      </c>
      <c r="M200" s="22">
        <f t="shared" si="39"/>
        <v>130.08000000000001</v>
      </c>
      <c r="N200" s="38">
        <f t="shared" si="46"/>
        <v>0</v>
      </c>
      <c r="O200" s="39">
        <f t="shared" si="46"/>
        <v>0</v>
      </c>
      <c r="P200" s="39">
        <f t="shared" si="46"/>
        <v>0</v>
      </c>
      <c r="Q200" s="40">
        <f t="shared" si="46"/>
        <v>0</v>
      </c>
      <c r="R200" s="22">
        <f t="shared" si="40"/>
        <v>0</v>
      </c>
      <c r="S200" s="22">
        <f t="shared" si="41"/>
        <v>354.44000000000005</v>
      </c>
    </row>
    <row r="201" spans="1:19" ht="26.25" customHeight="1" x14ac:dyDescent="0.25">
      <c r="A201" s="16" t="s">
        <v>295</v>
      </c>
      <c r="B201" s="86" t="s">
        <v>296</v>
      </c>
      <c r="C201" s="37">
        <f t="shared" si="44"/>
        <v>78.854860000000002</v>
      </c>
      <c r="D201" s="38">
        <f t="shared" si="44"/>
        <v>40.04</v>
      </c>
      <c r="E201" s="39">
        <f t="shared" si="44"/>
        <v>79.7</v>
      </c>
      <c r="F201" s="39">
        <f t="shared" si="44"/>
        <v>278.19</v>
      </c>
      <c r="G201" s="40">
        <f t="shared" si="44"/>
        <v>201.74</v>
      </c>
      <c r="H201" s="22">
        <f t="shared" si="43"/>
        <v>599.67000000000007</v>
      </c>
      <c r="I201" s="38">
        <f t="shared" si="45"/>
        <v>10</v>
      </c>
      <c r="J201" s="39">
        <f t="shared" si="45"/>
        <v>24.19</v>
      </c>
      <c r="K201" s="39">
        <f t="shared" si="45"/>
        <v>44.839999999999996</v>
      </c>
      <c r="L201" s="40">
        <f t="shared" si="45"/>
        <v>31</v>
      </c>
      <c r="M201" s="22">
        <f t="shared" si="39"/>
        <v>110.03</v>
      </c>
      <c r="N201" s="38">
        <f t="shared" si="46"/>
        <v>0</v>
      </c>
      <c r="O201" s="39">
        <f t="shared" si="46"/>
        <v>0</v>
      </c>
      <c r="P201" s="39">
        <f t="shared" si="46"/>
        <v>0</v>
      </c>
      <c r="Q201" s="40">
        <f t="shared" si="46"/>
        <v>0</v>
      </c>
      <c r="R201" s="22">
        <f t="shared" si="40"/>
        <v>0</v>
      </c>
      <c r="S201" s="22">
        <f t="shared" si="41"/>
        <v>709.7</v>
      </c>
    </row>
    <row r="202" spans="1:19" ht="24.75" customHeight="1" x14ac:dyDescent="0.25">
      <c r="A202" s="16" t="s">
        <v>297</v>
      </c>
      <c r="B202" s="86" t="s">
        <v>298</v>
      </c>
      <c r="C202" s="37">
        <f t="shared" si="44"/>
        <v>0</v>
      </c>
      <c r="D202" s="38">
        <f t="shared" si="44"/>
        <v>0</v>
      </c>
      <c r="E202" s="39">
        <f t="shared" si="44"/>
        <v>19.950000000000003</v>
      </c>
      <c r="F202" s="39">
        <f t="shared" si="44"/>
        <v>344.97</v>
      </c>
      <c r="G202" s="40">
        <f t="shared" si="44"/>
        <v>99.21</v>
      </c>
      <c r="H202" s="22">
        <f t="shared" si="43"/>
        <v>464.13</v>
      </c>
      <c r="I202" s="38">
        <f t="shared" si="45"/>
        <v>19.54</v>
      </c>
      <c r="J202" s="39">
        <f t="shared" si="45"/>
        <v>36</v>
      </c>
      <c r="K202" s="39">
        <f t="shared" si="45"/>
        <v>22.93</v>
      </c>
      <c r="L202" s="40">
        <f t="shared" si="45"/>
        <v>19.54</v>
      </c>
      <c r="M202" s="22">
        <f t="shared" si="39"/>
        <v>98.009999999999991</v>
      </c>
      <c r="N202" s="38">
        <f t="shared" si="46"/>
        <v>0</v>
      </c>
      <c r="O202" s="39">
        <f t="shared" si="46"/>
        <v>0</v>
      </c>
      <c r="P202" s="39">
        <f t="shared" si="46"/>
        <v>0</v>
      </c>
      <c r="Q202" s="40">
        <f t="shared" si="46"/>
        <v>0</v>
      </c>
      <c r="R202" s="22">
        <f t="shared" si="40"/>
        <v>0</v>
      </c>
      <c r="S202" s="22">
        <f t="shared" si="41"/>
        <v>562.14</v>
      </c>
    </row>
    <row r="203" spans="1:19" ht="24" customHeight="1" x14ac:dyDescent="0.25">
      <c r="A203" s="16" t="s">
        <v>299</v>
      </c>
      <c r="B203" s="86" t="s">
        <v>300</v>
      </c>
      <c r="C203" s="37">
        <f t="shared" si="44"/>
        <v>69.448979999999992</v>
      </c>
      <c r="D203" s="38">
        <f t="shared" si="44"/>
        <v>0</v>
      </c>
      <c r="E203" s="39">
        <f t="shared" si="44"/>
        <v>0</v>
      </c>
      <c r="F203" s="39">
        <f t="shared" si="44"/>
        <v>2.0499999999999998</v>
      </c>
      <c r="G203" s="40">
        <f t="shared" si="44"/>
        <v>0</v>
      </c>
      <c r="H203" s="43">
        <f>+H25+H175</f>
        <v>2.0499999999999998</v>
      </c>
      <c r="I203" s="38">
        <f t="shared" si="45"/>
        <v>0</v>
      </c>
      <c r="J203" s="39">
        <f t="shared" si="45"/>
        <v>7.89</v>
      </c>
      <c r="K203" s="39">
        <f t="shared" si="45"/>
        <v>0</v>
      </c>
      <c r="L203" s="40">
        <f t="shared" si="45"/>
        <v>0</v>
      </c>
      <c r="M203" s="22">
        <f t="shared" si="39"/>
        <v>7.89</v>
      </c>
      <c r="N203" s="38">
        <f t="shared" si="46"/>
        <v>0</v>
      </c>
      <c r="O203" s="39">
        <f t="shared" si="46"/>
        <v>0</v>
      </c>
      <c r="P203" s="39">
        <f t="shared" si="46"/>
        <v>0</v>
      </c>
      <c r="Q203" s="40">
        <f t="shared" si="46"/>
        <v>0</v>
      </c>
      <c r="R203" s="22">
        <f t="shared" si="40"/>
        <v>0</v>
      </c>
      <c r="S203" s="22">
        <f t="shared" si="41"/>
        <v>9.94</v>
      </c>
    </row>
    <row r="204" spans="1:19" ht="24.75" customHeight="1" x14ac:dyDescent="0.25">
      <c r="A204" s="16" t="s">
        <v>301</v>
      </c>
      <c r="B204" s="86" t="s">
        <v>302</v>
      </c>
      <c r="C204" s="37">
        <f t="shared" si="44"/>
        <v>205.75409999999999</v>
      </c>
      <c r="D204" s="38">
        <f t="shared" si="44"/>
        <v>34.25</v>
      </c>
      <c r="E204" s="39">
        <f t="shared" si="44"/>
        <v>52.849999999999994</v>
      </c>
      <c r="F204" s="39">
        <f t="shared" si="44"/>
        <v>49.64</v>
      </c>
      <c r="G204" s="40">
        <f t="shared" si="44"/>
        <v>0</v>
      </c>
      <c r="H204" s="43">
        <f>+H26+H176</f>
        <v>136.74</v>
      </c>
      <c r="I204" s="38">
        <f t="shared" si="45"/>
        <v>0</v>
      </c>
      <c r="J204" s="39">
        <f t="shared" si="45"/>
        <v>15.12</v>
      </c>
      <c r="K204" s="39">
        <f t="shared" si="45"/>
        <v>23</v>
      </c>
      <c r="L204" s="40">
        <f t="shared" si="45"/>
        <v>0</v>
      </c>
      <c r="M204" s="22">
        <f t="shared" si="39"/>
        <v>38.119999999999997</v>
      </c>
      <c r="N204" s="38">
        <f t="shared" si="46"/>
        <v>0</v>
      </c>
      <c r="O204" s="39">
        <f t="shared" si="46"/>
        <v>0</v>
      </c>
      <c r="P204" s="39">
        <f t="shared" si="46"/>
        <v>0</v>
      </c>
      <c r="Q204" s="40">
        <f t="shared" si="46"/>
        <v>0</v>
      </c>
      <c r="R204" s="22">
        <f t="shared" si="40"/>
        <v>0</v>
      </c>
      <c r="S204" s="22">
        <f t="shared" si="41"/>
        <v>174.86</v>
      </c>
    </row>
    <row r="205" spans="1:19" ht="22.5" customHeight="1" x14ac:dyDescent="0.25">
      <c r="A205" s="16" t="s">
        <v>303</v>
      </c>
      <c r="B205" s="86" t="s">
        <v>304</v>
      </c>
      <c r="C205" s="37">
        <f t="shared" si="44"/>
        <v>30.16864</v>
      </c>
      <c r="D205" s="38">
        <f t="shared" si="44"/>
        <v>0</v>
      </c>
      <c r="E205" s="39">
        <f t="shared" si="44"/>
        <v>0</v>
      </c>
      <c r="F205" s="39">
        <f t="shared" si="44"/>
        <v>0</v>
      </c>
      <c r="G205" s="40">
        <f t="shared" si="44"/>
        <v>0</v>
      </c>
      <c r="H205" s="43">
        <f>+H27+H177</f>
        <v>0</v>
      </c>
      <c r="I205" s="38">
        <f t="shared" si="45"/>
        <v>0</v>
      </c>
      <c r="J205" s="39">
        <f t="shared" si="45"/>
        <v>0</v>
      </c>
      <c r="K205" s="39">
        <f t="shared" si="45"/>
        <v>0</v>
      </c>
      <c r="L205" s="40">
        <f t="shared" si="45"/>
        <v>0</v>
      </c>
      <c r="M205" s="22">
        <f t="shared" si="39"/>
        <v>0</v>
      </c>
      <c r="N205" s="38">
        <f t="shared" si="46"/>
        <v>0</v>
      </c>
      <c r="O205" s="39">
        <f t="shared" si="46"/>
        <v>0</v>
      </c>
      <c r="P205" s="39">
        <f t="shared" si="46"/>
        <v>0</v>
      </c>
      <c r="Q205" s="40">
        <f t="shared" si="46"/>
        <v>0</v>
      </c>
      <c r="R205" s="22">
        <f t="shared" si="40"/>
        <v>0</v>
      </c>
      <c r="S205" s="22">
        <f t="shared" si="41"/>
        <v>0</v>
      </c>
    </row>
    <row r="206" spans="1:19" ht="36.75" customHeight="1" x14ac:dyDescent="0.25">
      <c r="A206" s="16" t="s">
        <v>305</v>
      </c>
      <c r="B206" s="87" t="s">
        <v>518</v>
      </c>
      <c r="C206" s="37">
        <f t="shared" si="44"/>
        <v>16.837019999999999</v>
      </c>
      <c r="D206" s="38">
        <f t="shared" si="44"/>
        <v>1.0499999999999998</v>
      </c>
      <c r="E206" s="39">
        <f t="shared" si="44"/>
        <v>1.0499999999999998</v>
      </c>
      <c r="F206" s="39">
        <f t="shared" si="44"/>
        <v>19.02</v>
      </c>
      <c r="G206" s="40">
        <f t="shared" si="44"/>
        <v>1.05</v>
      </c>
      <c r="H206" s="43">
        <f>+H28+H178</f>
        <v>22.17</v>
      </c>
      <c r="I206" s="38">
        <f t="shared" si="45"/>
        <v>29.650000000000002</v>
      </c>
      <c r="J206" s="39">
        <f t="shared" si="45"/>
        <v>5.35</v>
      </c>
      <c r="K206" s="39">
        <f t="shared" si="45"/>
        <v>14.23</v>
      </c>
      <c r="L206" s="40">
        <f t="shared" si="45"/>
        <v>3.9</v>
      </c>
      <c r="M206" s="22">
        <f t="shared" si="39"/>
        <v>53.13</v>
      </c>
      <c r="N206" s="38">
        <f t="shared" si="46"/>
        <v>0</v>
      </c>
      <c r="O206" s="39">
        <f t="shared" si="46"/>
        <v>0</v>
      </c>
      <c r="P206" s="39">
        <f t="shared" si="46"/>
        <v>0</v>
      </c>
      <c r="Q206" s="21">
        <f t="shared" si="46"/>
        <v>0</v>
      </c>
      <c r="R206" s="22">
        <f t="shared" si="40"/>
        <v>0</v>
      </c>
      <c r="S206" s="22">
        <f t="shared" si="41"/>
        <v>75.300000000000011</v>
      </c>
    </row>
    <row r="207" spans="1:19" ht="27" customHeight="1" x14ac:dyDescent="0.25">
      <c r="A207" s="16" t="s">
        <v>306</v>
      </c>
      <c r="B207" s="89" t="s">
        <v>519</v>
      </c>
      <c r="C207" s="37">
        <f t="shared" ref="C207:G211" si="47">+C31+C181</f>
        <v>0</v>
      </c>
      <c r="D207" s="38">
        <f t="shared" si="47"/>
        <v>0</v>
      </c>
      <c r="E207" s="39">
        <f t="shared" si="47"/>
        <v>0</v>
      </c>
      <c r="F207" s="39">
        <f t="shared" si="47"/>
        <v>0</v>
      </c>
      <c r="G207" s="40">
        <f t="shared" si="47"/>
        <v>0</v>
      </c>
      <c r="H207" s="22">
        <f t="shared" ref="H207:H269" si="48">SUM(D207:G207)</f>
        <v>0</v>
      </c>
      <c r="I207" s="38">
        <f t="shared" ref="I207:L211" si="49">+I31+I181</f>
        <v>31.549999999999997</v>
      </c>
      <c r="J207" s="39">
        <f t="shared" si="49"/>
        <v>38.909999999999997</v>
      </c>
      <c r="K207" s="39">
        <f t="shared" si="49"/>
        <v>3.91</v>
      </c>
      <c r="L207" s="40">
        <f t="shared" si="49"/>
        <v>4.7</v>
      </c>
      <c r="M207" s="22">
        <f t="shared" si="39"/>
        <v>79.069999999999993</v>
      </c>
      <c r="N207" s="38">
        <f t="shared" ref="N207:Q211" si="50">+N31+N181</f>
        <v>0</v>
      </c>
      <c r="O207" s="39">
        <f t="shared" si="50"/>
        <v>0</v>
      </c>
      <c r="P207" s="39">
        <f t="shared" si="50"/>
        <v>0</v>
      </c>
      <c r="Q207" s="40">
        <f t="shared" si="50"/>
        <v>0</v>
      </c>
      <c r="R207" s="22">
        <f t="shared" si="40"/>
        <v>0</v>
      </c>
      <c r="S207" s="22">
        <f t="shared" si="41"/>
        <v>79.069999999999993</v>
      </c>
    </row>
    <row r="208" spans="1:19" ht="15" customHeight="1" x14ac:dyDescent="0.25">
      <c r="A208" s="16" t="s">
        <v>307</v>
      </c>
      <c r="B208" s="88" t="s">
        <v>520</v>
      </c>
      <c r="C208" s="37">
        <f t="shared" si="47"/>
        <v>0</v>
      </c>
      <c r="D208" s="38">
        <f t="shared" si="47"/>
        <v>0</v>
      </c>
      <c r="E208" s="39">
        <f t="shared" si="47"/>
        <v>0</v>
      </c>
      <c r="F208" s="39">
        <f t="shared" si="47"/>
        <v>0</v>
      </c>
      <c r="G208" s="40">
        <f t="shared" si="47"/>
        <v>37.75</v>
      </c>
      <c r="H208" s="22">
        <f t="shared" si="48"/>
        <v>37.75</v>
      </c>
      <c r="I208" s="38">
        <f t="shared" si="49"/>
        <v>1.27</v>
      </c>
      <c r="J208" s="39">
        <f t="shared" si="49"/>
        <v>2.14</v>
      </c>
      <c r="K208" s="39">
        <f t="shared" si="49"/>
        <v>1.71</v>
      </c>
      <c r="L208" s="40">
        <f t="shared" si="49"/>
        <v>0</v>
      </c>
      <c r="M208" s="22">
        <f t="shared" si="39"/>
        <v>5.12</v>
      </c>
      <c r="N208" s="38">
        <f t="shared" si="50"/>
        <v>0</v>
      </c>
      <c r="O208" s="39">
        <f t="shared" si="50"/>
        <v>0</v>
      </c>
      <c r="P208" s="39">
        <f t="shared" si="50"/>
        <v>0</v>
      </c>
      <c r="Q208" s="40">
        <f t="shared" si="50"/>
        <v>0</v>
      </c>
      <c r="R208" s="22">
        <f t="shared" si="40"/>
        <v>0</v>
      </c>
      <c r="S208" s="22">
        <f t="shared" si="41"/>
        <v>42.87</v>
      </c>
    </row>
    <row r="209" spans="1:19" ht="15" customHeight="1" x14ac:dyDescent="0.25">
      <c r="A209" s="16" t="s">
        <v>308</v>
      </c>
      <c r="B209" s="88" t="s">
        <v>49</v>
      </c>
      <c r="C209" s="37">
        <f t="shared" si="47"/>
        <v>0</v>
      </c>
      <c r="D209" s="38">
        <f t="shared" si="47"/>
        <v>0</v>
      </c>
      <c r="E209" s="39">
        <f t="shared" si="47"/>
        <v>0</v>
      </c>
      <c r="F209" s="39">
        <f t="shared" si="47"/>
        <v>0</v>
      </c>
      <c r="G209" s="40">
        <f t="shared" si="47"/>
        <v>0</v>
      </c>
      <c r="H209" s="22">
        <f t="shared" si="48"/>
        <v>0</v>
      </c>
      <c r="I209" s="38">
        <f t="shared" si="49"/>
        <v>0</v>
      </c>
      <c r="J209" s="39">
        <f t="shared" si="49"/>
        <v>0</v>
      </c>
      <c r="K209" s="39">
        <f t="shared" si="49"/>
        <v>0</v>
      </c>
      <c r="L209" s="40">
        <f t="shared" si="49"/>
        <v>0</v>
      </c>
      <c r="M209" s="22">
        <f t="shared" si="39"/>
        <v>0</v>
      </c>
      <c r="N209" s="38">
        <f t="shared" si="50"/>
        <v>0</v>
      </c>
      <c r="O209" s="39">
        <f t="shared" si="50"/>
        <v>0</v>
      </c>
      <c r="P209" s="39">
        <f t="shared" si="50"/>
        <v>0</v>
      </c>
      <c r="Q209" s="40">
        <f t="shared" si="50"/>
        <v>388</v>
      </c>
      <c r="R209" s="22">
        <f t="shared" si="40"/>
        <v>388</v>
      </c>
      <c r="S209" s="22">
        <f t="shared" si="41"/>
        <v>388</v>
      </c>
    </row>
    <row r="210" spans="1:19" ht="13.5" customHeight="1" x14ac:dyDescent="0.25">
      <c r="A210" s="16" t="s">
        <v>309</v>
      </c>
      <c r="B210" s="88" t="s">
        <v>517</v>
      </c>
      <c r="C210" s="37">
        <f t="shared" si="47"/>
        <v>0</v>
      </c>
      <c r="D210" s="38">
        <f t="shared" si="47"/>
        <v>0</v>
      </c>
      <c r="E210" s="39">
        <f t="shared" si="47"/>
        <v>0</v>
      </c>
      <c r="F210" s="39">
        <f t="shared" si="47"/>
        <v>0</v>
      </c>
      <c r="G210" s="40">
        <f t="shared" si="47"/>
        <v>0</v>
      </c>
      <c r="H210" s="22">
        <f t="shared" si="48"/>
        <v>0</v>
      </c>
      <c r="I210" s="38">
        <f t="shared" si="49"/>
        <v>0</v>
      </c>
      <c r="J210" s="39">
        <f t="shared" si="49"/>
        <v>34.11</v>
      </c>
      <c r="K210" s="39">
        <f t="shared" si="49"/>
        <v>0</v>
      </c>
      <c r="L210" s="40">
        <f t="shared" si="49"/>
        <v>0</v>
      </c>
      <c r="M210" s="22">
        <f t="shared" si="39"/>
        <v>34.11</v>
      </c>
      <c r="N210" s="38">
        <f t="shared" si="50"/>
        <v>0</v>
      </c>
      <c r="O210" s="39">
        <f t="shared" si="50"/>
        <v>0</v>
      </c>
      <c r="P210" s="39">
        <f t="shared" si="50"/>
        <v>0</v>
      </c>
      <c r="Q210" s="40">
        <f t="shared" si="50"/>
        <v>0</v>
      </c>
      <c r="R210" s="22">
        <f t="shared" si="40"/>
        <v>0</v>
      </c>
      <c r="S210" s="22">
        <f t="shared" si="41"/>
        <v>34.11</v>
      </c>
    </row>
    <row r="211" spans="1:19" ht="53.25" customHeight="1" x14ac:dyDescent="0.25">
      <c r="A211" s="16" t="s">
        <v>310</v>
      </c>
      <c r="B211" s="89" t="s">
        <v>521</v>
      </c>
      <c r="C211" s="37">
        <f t="shared" si="47"/>
        <v>0</v>
      </c>
      <c r="D211" s="38">
        <f t="shared" si="47"/>
        <v>0</v>
      </c>
      <c r="E211" s="39">
        <f t="shared" si="47"/>
        <v>0</v>
      </c>
      <c r="F211" s="39">
        <f t="shared" si="47"/>
        <v>0</v>
      </c>
      <c r="G211" s="40">
        <f t="shared" si="47"/>
        <v>0</v>
      </c>
      <c r="H211" s="22">
        <f t="shared" si="48"/>
        <v>0</v>
      </c>
      <c r="I211" s="38">
        <f t="shared" si="49"/>
        <v>54.98</v>
      </c>
      <c r="J211" s="39">
        <f t="shared" si="49"/>
        <v>345.52</v>
      </c>
      <c r="K211" s="39">
        <f t="shared" si="49"/>
        <v>94.32</v>
      </c>
      <c r="L211" s="40">
        <f t="shared" si="49"/>
        <v>54.98</v>
      </c>
      <c r="M211" s="22">
        <f t="shared" si="39"/>
        <v>549.79999999999995</v>
      </c>
      <c r="N211" s="38">
        <f t="shared" si="50"/>
        <v>0</v>
      </c>
      <c r="O211" s="39">
        <f t="shared" si="50"/>
        <v>0</v>
      </c>
      <c r="P211" s="39">
        <f t="shared" si="50"/>
        <v>0</v>
      </c>
      <c r="Q211" s="40">
        <f t="shared" si="50"/>
        <v>0</v>
      </c>
      <c r="R211" s="22">
        <f t="shared" si="40"/>
        <v>0</v>
      </c>
      <c r="S211" s="22">
        <f t="shared" si="41"/>
        <v>549.79999999999995</v>
      </c>
    </row>
    <row r="212" spans="1:19" ht="24.75" customHeight="1" x14ac:dyDescent="0.25">
      <c r="A212" s="16" t="s">
        <v>311</v>
      </c>
      <c r="B212" s="30" t="s">
        <v>558</v>
      </c>
      <c r="C212" s="37">
        <f t="shared" ref="C212:G213" si="51">+C15+C39</f>
        <v>0</v>
      </c>
      <c r="D212" s="38">
        <f t="shared" si="51"/>
        <v>0</v>
      </c>
      <c r="E212" s="39">
        <f t="shared" si="51"/>
        <v>0</v>
      </c>
      <c r="F212" s="39">
        <f t="shared" si="51"/>
        <v>0</v>
      </c>
      <c r="G212" s="40">
        <f t="shared" si="51"/>
        <v>0</v>
      </c>
      <c r="H212" s="22">
        <f t="shared" si="48"/>
        <v>0</v>
      </c>
      <c r="I212" s="38">
        <f t="shared" ref="I212:L213" si="52">+I15+I39</f>
        <v>0</v>
      </c>
      <c r="J212" s="39">
        <f t="shared" si="52"/>
        <v>3.45</v>
      </c>
      <c r="K212" s="39">
        <f t="shared" si="52"/>
        <v>31.48</v>
      </c>
      <c r="L212" s="40">
        <f t="shared" si="52"/>
        <v>30.98</v>
      </c>
      <c r="M212" s="22">
        <f t="shared" si="39"/>
        <v>65.91</v>
      </c>
      <c r="N212" s="38">
        <f t="shared" ref="N212:Q213" si="53">+N15+N39</f>
        <v>0</v>
      </c>
      <c r="O212" s="39">
        <f t="shared" si="53"/>
        <v>0</v>
      </c>
      <c r="P212" s="39">
        <f t="shared" si="53"/>
        <v>0</v>
      </c>
      <c r="Q212" s="40">
        <f t="shared" si="53"/>
        <v>0</v>
      </c>
      <c r="R212" s="22">
        <f t="shared" si="40"/>
        <v>0</v>
      </c>
      <c r="S212" s="22">
        <f t="shared" si="41"/>
        <v>65.91</v>
      </c>
    </row>
    <row r="213" spans="1:19" ht="27" customHeight="1" x14ac:dyDescent="0.25">
      <c r="A213" s="16" t="s">
        <v>312</v>
      </c>
      <c r="B213" s="30" t="s">
        <v>552</v>
      </c>
      <c r="C213" s="37">
        <f t="shared" si="51"/>
        <v>0</v>
      </c>
      <c r="D213" s="38">
        <f t="shared" si="51"/>
        <v>0</v>
      </c>
      <c r="E213" s="39">
        <f t="shared" si="51"/>
        <v>0</v>
      </c>
      <c r="F213" s="39">
        <f t="shared" si="51"/>
        <v>0</v>
      </c>
      <c r="G213" s="40">
        <f t="shared" si="51"/>
        <v>0</v>
      </c>
      <c r="H213" s="22">
        <f t="shared" si="48"/>
        <v>0</v>
      </c>
      <c r="I213" s="38">
        <f t="shared" si="52"/>
        <v>0</v>
      </c>
      <c r="J213" s="39">
        <f t="shared" si="52"/>
        <v>8.09</v>
      </c>
      <c r="K213" s="39">
        <f t="shared" si="52"/>
        <v>58.849999999999994</v>
      </c>
      <c r="L213" s="40">
        <f t="shared" si="52"/>
        <v>57.949999999999996</v>
      </c>
      <c r="M213" s="22">
        <f t="shared" si="39"/>
        <v>124.88999999999999</v>
      </c>
      <c r="N213" s="38">
        <f t="shared" si="53"/>
        <v>0</v>
      </c>
      <c r="O213" s="39">
        <f t="shared" si="53"/>
        <v>0</v>
      </c>
      <c r="P213" s="39">
        <f t="shared" si="53"/>
        <v>0</v>
      </c>
      <c r="Q213" s="21">
        <f t="shared" si="53"/>
        <v>0</v>
      </c>
      <c r="R213" s="22">
        <f t="shared" si="40"/>
        <v>0</v>
      </c>
      <c r="S213" s="22">
        <f t="shared" si="41"/>
        <v>124.88999999999999</v>
      </c>
    </row>
    <row r="214" spans="1:19" ht="27" customHeight="1" x14ac:dyDescent="0.25">
      <c r="A214" s="16" t="s">
        <v>313</v>
      </c>
      <c r="B214" s="55" t="s">
        <v>556</v>
      </c>
      <c r="C214" s="37">
        <f t="shared" ref="C214:G215" si="54">+C43+C189</f>
        <v>73.820490000000007</v>
      </c>
      <c r="D214" s="38">
        <f t="shared" si="54"/>
        <v>17.02</v>
      </c>
      <c r="E214" s="39">
        <f t="shared" si="54"/>
        <v>16.2</v>
      </c>
      <c r="F214" s="39">
        <f t="shared" si="54"/>
        <v>2.0299999999999998</v>
      </c>
      <c r="G214" s="40">
        <f t="shared" si="54"/>
        <v>0</v>
      </c>
      <c r="H214" s="22">
        <f t="shared" si="48"/>
        <v>35.25</v>
      </c>
      <c r="I214" s="38">
        <f t="shared" ref="I214:L215" si="55">+I43+I189</f>
        <v>0</v>
      </c>
      <c r="J214" s="39">
        <f t="shared" si="55"/>
        <v>0</v>
      </c>
      <c r="K214" s="39">
        <f t="shared" si="55"/>
        <v>0</v>
      </c>
      <c r="L214" s="40">
        <f t="shared" si="55"/>
        <v>0</v>
      </c>
      <c r="M214" s="22">
        <f t="shared" si="39"/>
        <v>0</v>
      </c>
      <c r="N214" s="38">
        <f t="shared" ref="N214:Q215" si="56">+N43+N189</f>
        <v>0</v>
      </c>
      <c r="O214" s="39">
        <f t="shared" si="56"/>
        <v>0</v>
      </c>
      <c r="P214" s="39">
        <f t="shared" si="56"/>
        <v>0</v>
      </c>
      <c r="Q214" s="40">
        <f t="shared" si="56"/>
        <v>0</v>
      </c>
      <c r="R214" s="22">
        <f t="shared" si="40"/>
        <v>0</v>
      </c>
      <c r="S214" s="22">
        <f t="shared" si="41"/>
        <v>35.25</v>
      </c>
    </row>
    <row r="215" spans="1:19" ht="28.5" customHeight="1" x14ac:dyDescent="0.25">
      <c r="A215" s="16" t="s">
        <v>314</v>
      </c>
      <c r="B215" s="55" t="s">
        <v>557</v>
      </c>
      <c r="C215" s="37">
        <f t="shared" si="54"/>
        <v>87.815749999999994</v>
      </c>
      <c r="D215" s="38">
        <f t="shared" si="54"/>
        <v>21.84</v>
      </c>
      <c r="E215" s="39">
        <f t="shared" si="54"/>
        <v>21.47</v>
      </c>
      <c r="F215" s="39">
        <f t="shared" si="54"/>
        <v>3.73</v>
      </c>
      <c r="G215" s="40">
        <f t="shared" si="54"/>
        <v>0</v>
      </c>
      <c r="H215" s="22">
        <f t="shared" si="48"/>
        <v>47.04</v>
      </c>
      <c r="I215" s="38">
        <f t="shared" si="55"/>
        <v>0</v>
      </c>
      <c r="J215" s="39">
        <f t="shared" si="55"/>
        <v>0</v>
      </c>
      <c r="K215" s="39">
        <f t="shared" si="55"/>
        <v>0</v>
      </c>
      <c r="L215" s="40">
        <f t="shared" si="55"/>
        <v>0</v>
      </c>
      <c r="M215" s="22">
        <f t="shared" si="39"/>
        <v>0</v>
      </c>
      <c r="N215" s="38">
        <f t="shared" si="56"/>
        <v>0</v>
      </c>
      <c r="O215" s="39">
        <f t="shared" si="56"/>
        <v>0</v>
      </c>
      <c r="P215" s="39">
        <f t="shared" si="56"/>
        <v>0</v>
      </c>
      <c r="Q215" s="40">
        <f t="shared" si="56"/>
        <v>0</v>
      </c>
      <c r="R215" s="22">
        <f t="shared" si="40"/>
        <v>0</v>
      </c>
      <c r="S215" s="22">
        <f t="shared" si="41"/>
        <v>47.04</v>
      </c>
    </row>
    <row r="216" spans="1:19" ht="18.75" customHeight="1" x14ac:dyDescent="0.25">
      <c r="A216" s="16" t="s">
        <v>315</v>
      </c>
      <c r="B216" s="90" t="s">
        <v>553</v>
      </c>
      <c r="C216" s="37">
        <f t="shared" ref="C216:G218" si="57">+C49</f>
        <v>47.310499999999998</v>
      </c>
      <c r="D216" s="38">
        <f t="shared" si="57"/>
        <v>0</v>
      </c>
      <c r="E216" s="39">
        <f t="shared" si="57"/>
        <v>40.07</v>
      </c>
      <c r="F216" s="39">
        <f t="shared" si="57"/>
        <v>0</v>
      </c>
      <c r="G216" s="40">
        <f t="shared" si="57"/>
        <v>0</v>
      </c>
      <c r="H216" s="22">
        <f t="shared" si="48"/>
        <v>40.07</v>
      </c>
      <c r="I216" s="38">
        <f t="shared" ref="I216:L218" si="58">+I49</f>
        <v>0</v>
      </c>
      <c r="J216" s="39">
        <f t="shared" si="58"/>
        <v>0</v>
      </c>
      <c r="K216" s="39">
        <f t="shared" si="58"/>
        <v>0</v>
      </c>
      <c r="L216" s="40">
        <f t="shared" si="58"/>
        <v>0</v>
      </c>
      <c r="M216" s="22">
        <f t="shared" si="39"/>
        <v>0</v>
      </c>
      <c r="N216" s="38">
        <f t="shared" ref="N216:Q218" si="59">+N49</f>
        <v>0</v>
      </c>
      <c r="O216" s="39">
        <f t="shared" si="59"/>
        <v>0</v>
      </c>
      <c r="P216" s="39">
        <f t="shared" si="59"/>
        <v>0</v>
      </c>
      <c r="Q216" s="40">
        <f t="shared" si="59"/>
        <v>0</v>
      </c>
      <c r="R216" s="22">
        <f t="shared" si="40"/>
        <v>0</v>
      </c>
      <c r="S216" s="22">
        <f t="shared" si="41"/>
        <v>40.07</v>
      </c>
    </row>
    <row r="217" spans="1:19" ht="26.25" customHeight="1" x14ac:dyDescent="0.25">
      <c r="A217" s="16" t="s">
        <v>316</v>
      </c>
      <c r="B217" s="55" t="s">
        <v>559</v>
      </c>
      <c r="C217" s="37">
        <f t="shared" si="57"/>
        <v>12.5</v>
      </c>
      <c r="D217" s="38">
        <f t="shared" si="57"/>
        <v>0</v>
      </c>
      <c r="E217" s="39">
        <f t="shared" si="57"/>
        <v>0</v>
      </c>
      <c r="F217" s="39">
        <f t="shared" si="57"/>
        <v>0</v>
      </c>
      <c r="G217" s="40">
        <f t="shared" si="57"/>
        <v>92.3</v>
      </c>
      <c r="H217" s="22">
        <f t="shared" si="48"/>
        <v>92.3</v>
      </c>
      <c r="I217" s="38">
        <f t="shared" si="58"/>
        <v>0</v>
      </c>
      <c r="J217" s="39">
        <f t="shared" si="58"/>
        <v>0</v>
      </c>
      <c r="K217" s="39">
        <f t="shared" si="58"/>
        <v>0</v>
      </c>
      <c r="L217" s="40">
        <f t="shared" si="58"/>
        <v>0</v>
      </c>
      <c r="M217" s="22">
        <f t="shared" si="39"/>
        <v>0</v>
      </c>
      <c r="N217" s="38">
        <f t="shared" si="59"/>
        <v>0</v>
      </c>
      <c r="O217" s="39">
        <f t="shared" si="59"/>
        <v>0</v>
      </c>
      <c r="P217" s="39">
        <f t="shared" si="59"/>
        <v>0</v>
      </c>
      <c r="Q217" s="40">
        <f t="shared" si="59"/>
        <v>0</v>
      </c>
      <c r="R217" s="22">
        <f t="shared" si="40"/>
        <v>0</v>
      </c>
      <c r="S217" s="22">
        <f t="shared" si="41"/>
        <v>92.3</v>
      </c>
    </row>
    <row r="218" spans="1:19" ht="27" customHeight="1" x14ac:dyDescent="0.25">
      <c r="A218" s="16" t="s">
        <v>317</v>
      </c>
      <c r="B218" s="55" t="s">
        <v>562</v>
      </c>
      <c r="C218" s="37">
        <f t="shared" si="57"/>
        <v>15.5</v>
      </c>
      <c r="D218" s="38">
        <f t="shared" si="57"/>
        <v>0</v>
      </c>
      <c r="E218" s="39">
        <f t="shared" si="57"/>
        <v>33.44</v>
      </c>
      <c r="F218" s="39">
        <f t="shared" si="57"/>
        <v>40.76</v>
      </c>
      <c r="G218" s="40">
        <f t="shared" si="57"/>
        <v>0</v>
      </c>
      <c r="H218" s="22">
        <f t="shared" si="48"/>
        <v>74.199999999999989</v>
      </c>
      <c r="I218" s="38">
        <f t="shared" si="58"/>
        <v>0</v>
      </c>
      <c r="J218" s="39">
        <f t="shared" si="58"/>
        <v>0</v>
      </c>
      <c r="K218" s="39">
        <f t="shared" si="58"/>
        <v>0</v>
      </c>
      <c r="L218" s="40">
        <f t="shared" si="58"/>
        <v>0</v>
      </c>
      <c r="M218" s="22">
        <f t="shared" si="39"/>
        <v>0</v>
      </c>
      <c r="N218" s="38">
        <f t="shared" si="59"/>
        <v>0</v>
      </c>
      <c r="O218" s="39">
        <f t="shared" si="59"/>
        <v>0</v>
      </c>
      <c r="P218" s="39">
        <f t="shared" si="59"/>
        <v>0</v>
      </c>
      <c r="Q218" s="40">
        <f t="shared" si="59"/>
        <v>0</v>
      </c>
      <c r="R218" s="22">
        <f t="shared" si="40"/>
        <v>0</v>
      </c>
      <c r="S218" s="22">
        <f t="shared" si="41"/>
        <v>74.199999999999989</v>
      </c>
    </row>
    <row r="219" spans="1:19" ht="39.75" customHeight="1" x14ac:dyDescent="0.25">
      <c r="A219" s="16" t="s">
        <v>318</v>
      </c>
      <c r="B219" s="55" t="s">
        <v>563</v>
      </c>
      <c r="C219" s="37">
        <f t="shared" ref="C219:G220" si="60">+C52+C110</f>
        <v>9.82</v>
      </c>
      <c r="D219" s="38">
        <f t="shared" si="60"/>
        <v>0</v>
      </c>
      <c r="E219" s="39">
        <f t="shared" si="60"/>
        <v>0</v>
      </c>
      <c r="F219" s="39">
        <f t="shared" si="60"/>
        <v>0</v>
      </c>
      <c r="G219" s="40">
        <f t="shared" si="60"/>
        <v>60.070000000000007</v>
      </c>
      <c r="H219" s="22">
        <f t="shared" si="48"/>
        <v>60.070000000000007</v>
      </c>
      <c r="I219" s="38">
        <f t="shared" ref="I219:L220" si="61">+I52+I110</f>
        <v>78.97</v>
      </c>
      <c r="J219" s="39">
        <f t="shared" si="61"/>
        <v>0</v>
      </c>
      <c r="K219" s="39">
        <f t="shared" si="61"/>
        <v>0</v>
      </c>
      <c r="L219" s="40">
        <f t="shared" si="61"/>
        <v>0</v>
      </c>
      <c r="M219" s="22">
        <f t="shared" si="39"/>
        <v>78.97</v>
      </c>
      <c r="N219" s="38">
        <f t="shared" ref="N219:Q220" si="62">+N52+N110</f>
        <v>0</v>
      </c>
      <c r="O219" s="39">
        <f t="shared" si="62"/>
        <v>0</v>
      </c>
      <c r="P219" s="39">
        <f t="shared" si="62"/>
        <v>0</v>
      </c>
      <c r="Q219" s="40">
        <f t="shared" si="62"/>
        <v>0</v>
      </c>
      <c r="R219" s="22">
        <f t="shared" si="40"/>
        <v>0</v>
      </c>
      <c r="S219" s="22">
        <f t="shared" si="41"/>
        <v>139.04000000000002</v>
      </c>
    </row>
    <row r="220" spans="1:19" ht="39" customHeight="1" x14ac:dyDescent="0.25">
      <c r="A220" s="16" t="s">
        <v>319</v>
      </c>
      <c r="B220" s="55" t="s">
        <v>566</v>
      </c>
      <c r="C220" s="37">
        <f t="shared" si="60"/>
        <v>0</v>
      </c>
      <c r="D220" s="38">
        <f t="shared" si="60"/>
        <v>0</v>
      </c>
      <c r="E220" s="39">
        <f t="shared" si="60"/>
        <v>0</v>
      </c>
      <c r="F220" s="39">
        <f t="shared" si="60"/>
        <v>0</v>
      </c>
      <c r="G220" s="40">
        <f t="shared" si="60"/>
        <v>0</v>
      </c>
      <c r="H220" s="22">
        <f t="shared" si="48"/>
        <v>0</v>
      </c>
      <c r="I220" s="38">
        <f t="shared" si="61"/>
        <v>0</v>
      </c>
      <c r="J220" s="39">
        <f t="shared" si="61"/>
        <v>40</v>
      </c>
      <c r="K220" s="39">
        <f t="shared" si="61"/>
        <v>52.019999999999996</v>
      </c>
      <c r="L220" s="40">
        <f t="shared" si="61"/>
        <v>0</v>
      </c>
      <c r="M220" s="22">
        <f t="shared" si="39"/>
        <v>92.02</v>
      </c>
      <c r="N220" s="38">
        <f t="shared" si="62"/>
        <v>0</v>
      </c>
      <c r="O220" s="39">
        <f t="shared" si="62"/>
        <v>0</v>
      </c>
      <c r="P220" s="39">
        <f t="shared" si="62"/>
        <v>0</v>
      </c>
      <c r="Q220" s="40">
        <f t="shared" si="62"/>
        <v>0</v>
      </c>
      <c r="R220" s="22">
        <f t="shared" si="40"/>
        <v>0</v>
      </c>
      <c r="S220" s="22">
        <f t="shared" si="41"/>
        <v>92.02</v>
      </c>
    </row>
    <row r="221" spans="1:19" ht="15" customHeight="1" x14ac:dyDescent="0.25">
      <c r="A221" s="16" t="s">
        <v>320</v>
      </c>
      <c r="B221" s="90" t="s">
        <v>70</v>
      </c>
      <c r="C221" s="37">
        <f t="shared" ref="C221:G233" si="63">+C54</f>
        <v>0</v>
      </c>
      <c r="D221" s="38">
        <f t="shared" si="63"/>
        <v>0</v>
      </c>
      <c r="E221" s="39">
        <f t="shared" si="63"/>
        <v>0</v>
      </c>
      <c r="F221" s="39">
        <f t="shared" si="63"/>
        <v>5.75</v>
      </c>
      <c r="G221" s="40">
        <f t="shared" si="63"/>
        <v>52.43</v>
      </c>
      <c r="H221" s="22">
        <f t="shared" si="48"/>
        <v>58.18</v>
      </c>
      <c r="I221" s="38">
        <f t="shared" ref="I221:L233" si="64">+I54</f>
        <v>30</v>
      </c>
      <c r="J221" s="39">
        <f t="shared" si="64"/>
        <v>25.81</v>
      </c>
      <c r="K221" s="39">
        <f t="shared" si="64"/>
        <v>0</v>
      </c>
      <c r="L221" s="40">
        <f t="shared" si="64"/>
        <v>0</v>
      </c>
      <c r="M221" s="22">
        <f t="shared" si="39"/>
        <v>55.81</v>
      </c>
      <c r="N221" s="38">
        <f t="shared" ref="N221:Q233" si="65">+N54</f>
        <v>0</v>
      </c>
      <c r="O221" s="39">
        <f t="shared" si="65"/>
        <v>0</v>
      </c>
      <c r="P221" s="39">
        <f t="shared" si="65"/>
        <v>0</v>
      </c>
      <c r="Q221" s="21">
        <f t="shared" si="65"/>
        <v>0</v>
      </c>
      <c r="R221" s="22">
        <f t="shared" si="40"/>
        <v>0</v>
      </c>
      <c r="S221" s="22">
        <f t="shared" si="41"/>
        <v>113.99000000000001</v>
      </c>
    </row>
    <row r="222" spans="1:19" ht="15" customHeight="1" x14ac:dyDescent="0.25">
      <c r="A222" s="16" t="s">
        <v>321</v>
      </c>
      <c r="B222" s="42" t="s">
        <v>536</v>
      </c>
      <c r="C222" s="37">
        <f t="shared" si="63"/>
        <v>0</v>
      </c>
      <c r="D222" s="38">
        <f t="shared" si="63"/>
        <v>0</v>
      </c>
      <c r="E222" s="39">
        <f t="shared" si="63"/>
        <v>0</v>
      </c>
      <c r="F222" s="39">
        <f t="shared" si="63"/>
        <v>0</v>
      </c>
      <c r="G222" s="40">
        <f t="shared" si="63"/>
        <v>82.46</v>
      </c>
      <c r="H222" s="22">
        <f t="shared" si="48"/>
        <v>82.46</v>
      </c>
      <c r="I222" s="38">
        <f t="shared" si="64"/>
        <v>0</v>
      </c>
      <c r="J222" s="39">
        <f t="shared" si="64"/>
        <v>0</v>
      </c>
      <c r="K222" s="39">
        <f t="shared" si="64"/>
        <v>0</v>
      </c>
      <c r="L222" s="40">
        <f t="shared" si="64"/>
        <v>0</v>
      </c>
      <c r="M222" s="22">
        <f t="shared" ref="M222:M252" si="66">SUM(I222:L222)</f>
        <v>0</v>
      </c>
      <c r="N222" s="38">
        <f t="shared" si="65"/>
        <v>0</v>
      </c>
      <c r="O222" s="39">
        <f t="shared" si="65"/>
        <v>0</v>
      </c>
      <c r="P222" s="39">
        <f t="shared" si="65"/>
        <v>0</v>
      </c>
      <c r="Q222" s="21">
        <f t="shared" si="65"/>
        <v>0</v>
      </c>
      <c r="R222" s="22">
        <f t="shared" ref="R222:R284" si="67">SUM(N222:Q222)</f>
        <v>0</v>
      </c>
      <c r="S222" s="22">
        <f t="shared" si="41"/>
        <v>82.46</v>
      </c>
    </row>
    <row r="223" spans="1:19" ht="15" customHeight="1" x14ac:dyDescent="0.25">
      <c r="A223" s="16" t="s">
        <v>322</v>
      </c>
      <c r="B223" s="90" t="s">
        <v>73</v>
      </c>
      <c r="C223" s="37">
        <f t="shared" si="63"/>
        <v>3.85</v>
      </c>
      <c r="D223" s="38">
        <f t="shared" si="63"/>
        <v>0</v>
      </c>
      <c r="E223" s="39">
        <f t="shared" si="63"/>
        <v>0</v>
      </c>
      <c r="F223" s="39">
        <f t="shared" si="63"/>
        <v>30</v>
      </c>
      <c r="G223" s="40">
        <f t="shared" si="63"/>
        <v>43.42</v>
      </c>
      <c r="H223" s="22">
        <f t="shared" si="48"/>
        <v>73.42</v>
      </c>
      <c r="I223" s="38">
        <f t="shared" si="64"/>
        <v>0</v>
      </c>
      <c r="J223" s="39">
        <f t="shared" si="64"/>
        <v>0</v>
      </c>
      <c r="K223" s="39">
        <f t="shared" si="64"/>
        <v>0</v>
      </c>
      <c r="L223" s="40">
        <f t="shared" si="64"/>
        <v>0</v>
      </c>
      <c r="M223" s="22">
        <f t="shared" si="66"/>
        <v>0</v>
      </c>
      <c r="N223" s="38">
        <f t="shared" si="65"/>
        <v>0</v>
      </c>
      <c r="O223" s="39">
        <f t="shared" si="65"/>
        <v>0</v>
      </c>
      <c r="P223" s="39">
        <f t="shared" si="65"/>
        <v>0</v>
      </c>
      <c r="Q223" s="21">
        <f t="shared" si="65"/>
        <v>0</v>
      </c>
      <c r="R223" s="22">
        <f t="shared" si="67"/>
        <v>0</v>
      </c>
      <c r="S223" s="22">
        <f t="shared" si="41"/>
        <v>73.42</v>
      </c>
    </row>
    <row r="224" spans="1:19" ht="15" customHeight="1" x14ac:dyDescent="0.25">
      <c r="A224" s="16" t="s">
        <v>323</v>
      </c>
      <c r="B224" s="90" t="s">
        <v>75</v>
      </c>
      <c r="C224" s="37">
        <f t="shared" si="63"/>
        <v>61.658050000000003</v>
      </c>
      <c r="D224" s="38">
        <f t="shared" si="63"/>
        <v>0</v>
      </c>
      <c r="E224" s="39">
        <f t="shared" si="63"/>
        <v>0</v>
      </c>
      <c r="F224" s="39">
        <f t="shared" si="63"/>
        <v>0</v>
      </c>
      <c r="G224" s="40">
        <f t="shared" si="63"/>
        <v>0</v>
      </c>
      <c r="H224" s="22">
        <f t="shared" si="48"/>
        <v>0</v>
      </c>
      <c r="I224" s="38">
        <f t="shared" si="64"/>
        <v>0</v>
      </c>
      <c r="J224" s="39">
        <f t="shared" si="64"/>
        <v>0</v>
      </c>
      <c r="K224" s="39">
        <f t="shared" si="64"/>
        <v>0</v>
      </c>
      <c r="L224" s="40">
        <f t="shared" si="64"/>
        <v>0</v>
      </c>
      <c r="M224" s="22">
        <f t="shared" si="66"/>
        <v>0</v>
      </c>
      <c r="N224" s="38">
        <f t="shared" si="65"/>
        <v>0</v>
      </c>
      <c r="O224" s="39">
        <f t="shared" si="65"/>
        <v>0</v>
      </c>
      <c r="P224" s="39">
        <f t="shared" si="65"/>
        <v>0</v>
      </c>
      <c r="Q224" s="21">
        <f t="shared" si="65"/>
        <v>0</v>
      </c>
      <c r="R224" s="22">
        <f t="shared" si="67"/>
        <v>0</v>
      </c>
      <c r="S224" s="22">
        <f t="shared" si="41"/>
        <v>0</v>
      </c>
    </row>
    <row r="225" spans="1:19" ht="15" customHeight="1" x14ac:dyDescent="0.25">
      <c r="A225" s="16" t="s">
        <v>324</v>
      </c>
      <c r="B225" s="90" t="s">
        <v>77</v>
      </c>
      <c r="C225" s="37">
        <f t="shared" si="63"/>
        <v>0</v>
      </c>
      <c r="D225" s="38">
        <f t="shared" si="63"/>
        <v>0</v>
      </c>
      <c r="E225" s="39">
        <f t="shared" si="63"/>
        <v>0</v>
      </c>
      <c r="F225" s="39">
        <f t="shared" si="63"/>
        <v>0</v>
      </c>
      <c r="G225" s="40">
        <f t="shared" si="63"/>
        <v>30</v>
      </c>
      <c r="H225" s="22">
        <f t="shared" si="48"/>
        <v>30</v>
      </c>
      <c r="I225" s="38">
        <f t="shared" si="64"/>
        <v>10</v>
      </c>
      <c r="J225" s="39">
        <f t="shared" si="64"/>
        <v>27.51</v>
      </c>
      <c r="K225" s="39">
        <f t="shared" si="64"/>
        <v>0</v>
      </c>
      <c r="L225" s="40">
        <f t="shared" si="64"/>
        <v>0</v>
      </c>
      <c r="M225" s="22">
        <f t="shared" si="66"/>
        <v>37.510000000000005</v>
      </c>
      <c r="N225" s="38">
        <f t="shared" si="65"/>
        <v>0</v>
      </c>
      <c r="O225" s="39">
        <f t="shared" si="65"/>
        <v>0</v>
      </c>
      <c r="P225" s="39">
        <f t="shared" si="65"/>
        <v>0</v>
      </c>
      <c r="Q225" s="21">
        <f t="shared" si="65"/>
        <v>0</v>
      </c>
      <c r="R225" s="22">
        <f t="shared" si="67"/>
        <v>0</v>
      </c>
      <c r="S225" s="22">
        <f t="shared" si="41"/>
        <v>67.510000000000005</v>
      </c>
    </row>
    <row r="226" spans="1:19" ht="15" customHeight="1" x14ac:dyDescent="0.25">
      <c r="A226" s="16" t="s">
        <v>325</v>
      </c>
      <c r="B226" s="90" t="s">
        <v>79</v>
      </c>
      <c r="C226" s="37">
        <f t="shared" si="63"/>
        <v>0</v>
      </c>
      <c r="D226" s="38">
        <f t="shared" si="63"/>
        <v>0</v>
      </c>
      <c r="E226" s="39">
        <f t="shared" si="63"/>
        <v>0</v>
      </c>
      <c r="F226" s="39">
        <f t="shared" si="63"/>
        <v>0</v>
      </c>
      <c r="G226" s="40">
        <f t="shared" si="63"/>
        <v>0</v>
      </c>
      <c r="H226" s="22">
        <f t="shared" si="48"/>
        <v>0</v>
      </c>
      <c r="I226" s="38">
        <f t="shared" si="64"/>
        <v>0</v>
      </c>
      <c r="J226" s="39">
        <f t="shared" si="64"/>
        <v>0</v>
      </c>
      <c r="K226" s="39">
        <f t="shared" si="64"/>
        <v>0</v>
      </c>
      <c r="L226" s="40">
        <f t="shared" si="64"/>
        <v>0</v>
      </c>
      <c r="M226" s="22">
        <f t="shared" si="66"/>
        <v>0</v>
      </c>
      <c r="N226" s="38">
        <f t="shared" si="65"/>
        <v>5</v>
      </c>
      <c r="O226" s="39">
        <f t="shared" si="65"/>
        <v>5</v>
      </c>
      <c r="P226" s="39">
        <f t="shared" si="65"/>
        <v>30</v>
      </c>
      <c r="Q226" s="21">
        <f t="shared" si="65"/>
        <v>34.6</v>
      </c>
      <c r="R226" s="22">
        <f t="shared" si="67"/>
        <v>74.599999999999994</v>
      </c>
      <c r="S226" s="22">
        <f t="shared" si="41"/>
        <v>74.599999999999994</v>
      </c>
    </row>
    <row r="227" spans="1:19" ht="15" customHeight="1" x14ac:dyDescent="0.25">
      <c r="A227" s="16" t="s">
        <v>326</v>
      </c>
      <c r="B227" s="90" t="s">
        <v>81</v>
      </c>
      <c r="C227" s="37">
        <f t="shared" si="63"/>
        <v>0</v>
      </c>
      <c r="D227" s="38">
        <f t="shared" si="63"/>
        <v>0</v>
      </c>
      <c r="E227" s="39">
        <f t="shared" si="63"/>
        <v>0</v>
      </c>
      <c r="F227" s="39">
        <f t="shared" si="63"/>
        <v>0</v>
      </c>
      <c r="G227" s="40">
        <f t="shared" si="63"/>
        <v>0</v>
      </c>
      <c r="H227" s="22">
        <f t="shared" si="48"/>
        <v>0</v>
      </c>
      <c r="I227" s="38">
        <f t="shared" si="64"/>
        <v>0</v>
      </c>
      <c r="J227" s="39">
        <f t="shared" si="64"/>
        <v>0</v>
      </c>
      <c r="K227" s="39">
        <f t="shared" si="64"/>
        <v>5</v>
      </c>
      <c r="L227" s="40">
        <f t="shared" si="64"/>
        <v>10</v>
      </c>
      <c r="M227" s="22">
        <f t="shared" si="66"/>
        <v>15</v>
      </c>
      <c r="N227" s="38">
        <f t="shared" si="65"/>
        <v>5</v>
      </c>
      <c r="O227" s="39">
        <f t="shared" si="65"/>
        <v>10</v>
      </c>
      <c r="P227" s="39">
        <f t="shared" si="65"/>
        <v>10</v>
      </c>
      <c r="Q227" s="21">
        <f t="shared" si="65"/>
        <v>9.23</v>
      </c>
      <c r="R227" s="22">
        <f t="shared" si="67"/>
        <v>34.230000000000004</v>
      </c>
      <c r="S227" s="22">
        <f t="shared" si="41"/>
        <v>49.230000000000004</v>
      </c>
    </row>
    <row r="228" spans="1:19" ht="15" customHeight="1" x14ac:dyDescent="0.25">
      <c r="A228" s="16" t="s">
        <v>327</v>
      </c>
      <c r="B228" s="90" t="s">
        <v>83</v>
      </c>
      <c r="C228" s="37">
        <f t="shared" si="63"/>
        <v>0</v>
      </c>
      <c r="D228" s="38">
        <f t="shared" si="63"/>
        <v>0</v>
      </c>
      <c r="E228" s="39">
        <f t="shared" si="63"/>
        <v>0</v>
      </c>
      <c r="F228" s="39">
        <f t="shared" si="63"/>
        <v>0</v>
      </c>
      <c r="G228" s="40">
        <f t="shared" si="63"/>
        <v>0</v>
      </c>
      <c r="H228" s="22">
        <f t="shared" si="48"/>
        <v>0</v>
      </c>
      <c r="I228" s="38">
        <f t="shared" si="64"/>
        <v>0</v>
      </c>
      <c r="J228" s="39">
        <f t="shared" si="64"/>
        <v>0</v>
      </c>
      <c r="K228" s="39">
        <f t="shared" si="64"/>
        <v>5</v>
      </c>
      <c r="L228" s="40">
        <f t="shared" si="64"/>
        <v>10</v>
      </c>
      <c r="M228" s="22">
        <f t="shared" si="66"/>
        <v>15</v>
      </c>
      <c r="N228" s="38">
        <f t="shared" si="65"/>
        <v>5</v>
      </c>
      <c r="O228" s="39">
        <f t="shared" si="65"/>
        <v>10</v>
      </c>
      <c r="P228" s="39">
        <f t="shared" si="65"/>
        <v>10</v>
      </c>
      <c r="Q228" s="21">
        <f t="shared" si="65"/>
        <v>8.85</v>
      </c>
      <c r="R228" s="22">
        <f t="shared" si="67"/>
        <v>33.85</v>
      </c>
      <c r="S228" s="22">
        <f t="shared" si="41"/>
        <v>48.85</v>
      </c>
    </row>
    <row r="229" spans="1:19" ht="15" customHeight="1" x14ac:dyDescent="0.25">
      <c r="A229" s="16" t="s">
        <v>328</v>
      </c>
      <c r="B229" s="90" t="s">
        <v>85</v>
      </c>
      <c r="C229" s="37">
        <f t="shared" si="63"/>
        <v>0</v>
      </c>
      <c r="D229" s="38">
        <f t="shared" si="63"/>
        <v>0</v>
      </c>
      <c r="E229" s="39">
        <f t="shared" si="63"/>
        <v>0</v>
      </c>
      <c r="F229" s="39">
        <f t="shared" si="63"/>
        <v>0</v>
      </c>
      <c r="G229" s="40">
        <f t="shared" si="63"/>
        <v>0</v>
      </c>
      <c r="H229" s="22">
        <f t="shared" si="48"/>
        <v>0</v>
      </c>
      <c r="I229" s="38">
        <f t="shared" si="64"/>
        <v>0</v>
      </c>
      <c r="J229" s="39">
        <f t="shared" si="64"/>
        <v>0</v>
      </c>
      <c r="K229" s="39">
        <f t="shared" si="64"/>
        <v>5</v>
      </c>
      <c r="L229" s="40">
        <f t="shared" si="64"/>
        <v>10</v>
      </c>
      <c r="M229" s="22">
        <f t="shared" si="66"/>
        <v>15</v>
      </c>
      <c r="N229" s="38">
        <f t="shared" si="65"/>
        <v>5</v>
      </c>
      <c r="O229" s="39">
        <f t="shared" si="65"/>
        <v>10</v>
      </c>
      <c r="P229" s="39">
        <f t="shared" si="65"/>
        <v>10</v>
      </c>
      <c r="Q229" s="21">
        <f t="shared" si="65"/>
        <v>14.66</v>
      </c>
      <c r="R229" s="22">
        <f t="shared" si="67"/>
        <v>39.659999999999997</v>
      </c>
      <c r="S229" s="22">
        <f t="shared" si="41"/>
        <v>54.66</v>
      </c>
    </row>
    <row r="230" spans="1:19" ht="15" customHeight="1" x14ac:dyDescent="0.25">
      <c r="A230" s="16" t="s">
        <v>329</v>
      </c>
      <c r="B230" s="90" t="s">
        <v>87</v>
      </c>
      <c r="C230" s="37">
        <f t="shared" si="63"/>
        <v>0</v>
      </c>
      <c r="D230" s="38">
        <f t="shared" si="63"/>
        <v>0</v>
      </c>
      <c r="E230" s="39">
        <f t="shared" si="63"/>
        <v>0</v>
      </c>
      <c r="F230" s="39">
        <f t="shared" si="63"/>
        <v>0</v>
      </c>
      <c r="G230" s="40">
        <f t="shared" si="63"/>
        <v>0</v>
      </c>
      <c r="H230" s="22">
        <f t="shared" si="48"/>
        <v>0</v>
      </c>
      <c r="I230" s="38">
        <f t="shared" si="64"/>
        <v>0</v>
      </c>
      <c r="J230" s="39">
        <f t="shared" si="64"/>
        <v>0</v>
      </c>
      <c r="K230" s="39">
        <f t="shared" si="64"/>
        <v>0</v>
      </c>
      <c r="L230" s="40">
        <f t="shared" si="64"/>
        <v>0</v>
      </c>
      <c r="M230" s="22">
        <f t="shared" si="66"/>
        <v>0</v>
      </c>
      <c r="N230" s="38">
        <f t="shared" si="65"/>
        <v>5</v>
      </c>
      <c r="O230" s="39">
        <f t="shared" si="65"/>
        <v>15</v>
      </c>
      <c r="P230" s="39">
        <f t="shared" si="65"/>
        <v>20</v>
      </c>
      <c r="Q230" s="21">
        <f t="shared" si="65"/>
        <v>20</v>
      </c>
      <c r="R230" s="22">
        <f t="shared" si="67"/>
        <v>60</v>
      </c>
      <c r="S230" s="22">
        <f t="shared" si="41"/>
        <v>60</v>
      </c>
    </row>
    <row r="231" spans="1:19" ht="15" customHeight="1" x14ac:dyDescent="0.25">
      <c r="A231" s="16" t="s">
        <v>330</v>
      </c>
      <c r="B231" s="90" t="s">
        <v>89</v>
      </c>
      <c r="C231" s="37">
        <f t="shared" si="63"/>
        <v>0</v>
      </c>
      <c r="D231" s="38">
        <f t="shared" si="63"/>
        <v>0</v>
      </c>
      <c r="E231" s="39">
        <f t="shared" si="63"/>
        <v>0</v>
      </c>
      <c r="F231" s="39">
        <f t="shared" si="63"/>
        <v>0</v>
      </c>
      <c r="G231" s="40">
        <f t="shared" si="63"/>
        <v>0</v>
      </c>
      <c r="H231" s="22">
        <f t="shared" si="48"/>
        <v>0</v>
      </c>
      <c r="I231" s="38">
        <f t="shared" si="64"/>
        <v>0</v>
      </c>
      <c r="J231" s="39">
        <f t="shared" si="64"/>
        <v>15</v>
      </c>
      <c r="K231" s="39">
        <f t="shared" si="64"/>
        <v>15</v>
      </c>
      <c r="L231" s="40">
        <f t="shared" si="64"/>
        <v>0</v>
      </c>
      <c r="M231" s="22">
        <f t="shared" si="66"/>
        <v>30</v>
      </c>
      <c r="N231" s="38">
        <f t="shared" si="65"/>
        <v>5</v>
      </c>
      <c r="O231" s="39">
        <f t="shared" si="65"/>
        <v>5</v>
      </c>
      <c r="P231" s="39">
        <f t="shared" si="65"/>
        <v>5</v>
      </c>
      <c r="Q231" s="21">
        <f t="shared" si="65"/>
        <v>4.9400000000000004</v>
      </c>
      <c r="R231" s="22">
        <f t="shared" si="67"/>
        <v>19.940000000000001</v>
      </c>
      <c r="S231" s="22">
        <f t="shared" si="41"/>
        <v>49.94</v>
      </c>
    </row>
    <row r="232" spans="1:19" ht="15" customHeight="1" x14ac:dyDescent="0.25">
      <c r="A232" s="16" t="s">
        <v>331</v>
      </c>
      <c r="B232" s="59" t="s">
        <v>91</v>
      </c>
      <c r="C232" s="37">
        <f t="shared" si="63"/>
        <v>16.947839999999999</v>
      </c>
      <c r="D232" s="38">
        <f t="shared" si="63"/>
        <v>0</v>
      </c>
      <c r="E232" s="39">
        <f t="shared" si="63"/>
        <v>0</v>
      </c>
      <c r="F232" s="39">
        <f t="shared" si="63"/>
        <v>0</v>
      </c>
      <c r="G232" s="40">
        <f t="shared" si="63"/>
        <v>0</v>
      </c>
      <c r="H232" s="22">
        <f t="shared" si="48"/>
        <v>0</v>
      </c>
      <c r="I232" s="38">
        <f t="shared" si="64"/>
        <v>0</v>
      </c>
      <c r="J232" s="39">
        <f t="shared" si="64"/>
        <v>0</v>
      </c>
      <c r="K232" s="39">
        <f t="shared" si="64"/>
        <v>0</v>
      </c>
      <c r="L232" s="40">
        <f t="shared" si="64"/>
        <v>0</v>
      </c>
      <c r="M232" s="22">
        <f t="shared" si="66"/>
        <v>0</v>
      </c>
      <c r="N232" s="38">
        <f t="shared" si="65"/>
        <v>0</v>
      </c>
      <c r="O232" s="39">
        <f t="shared" si="65"/>
        <v>0</v>
      </c>
      <c r="P232" s="39">
        <f t="shared" si="65"/>
        <v>0</v>
      </c>
      <c r="Q232" s="21">
        <f t="shared" si="65"/>
        <v>0</v>
      </c>
      <c r="R232" s="22">
        <f t="shared" si="67"/>
        <v>0</v>
      </c>
      <c r="S232" s="22">
        <f t="shared" si="41"/>
        <v>0</v>
      </c>
    </row>
    <row r="233" spans="1:19" ht="15" customHeight="1" x14ac:dyDescent="0.25">
      <c r="A233" s="16" t="s">
        <v>332</v>
      </c>
      <c r="B233" s="90" t="s">
        <v>333</v>
      </c>
      <c r="C233" s="37">
        <f t="shared" si="63"/>
        <v>134.86831000000001</v>
      </c>
      <c r="D233" s="38">
        <f t="shared" si="63"/>
        <v>0</v>
      </c>
      <c r="E233" s="39">
        <f t="shared" si="63"/>
        <v>0</v>
      </c>
      <c r="F233" s="39">
        <f t="shared" si="63"/>
        <v>0</v>
      </c>
      <c r="G233" s="40">
        <f t="shared" si="63"/>
        <v>35.51</v>
      </c>
      <c r="H233" s="22">
        <f t="shared" si="48"/>
        <v>35.51</v>
      </c>
      <c r="I233" s="38">
        <f t="shared" si="64"/>
        <v>0</v>
      </c>
      <c r="J233" s="39">
        <f t="shared" si="64"/>
        <v>15</v>
      </c>
      <c r="K233" s="39">
        <f t="shared" si="64"/>
        <v>15</v>
      </c>
      <c r="L233" s="40">
        <f t="shared" si="64"/>
        <v>25</v>
      </c>
      <c r="M233" s="22">
        <f t="shared" si="66"/>
        <v>55</v>
      </c>
      <c r="N233" s="38">
        <f t="shared" si="65"/>
        <v>16</v>
      </c>
      <c r="O233" s="39">
        <f t="shared" si="65"/>
        <v>15</v>
      </c>
      <c r="P233" s="39">
        <f t="shared" si="65"/>
        <v>10</v>
      </c>
      <c r="Q233" s="21">
        <f t="shared" si="65"/>
        <v>10</v>
      </c>
      <c r="R233" s="22">
        <f t="shared" si="67"/>
        <v>51</v>
      </c>
      <c r="S233" s="22">
        <f t="shared" si="41"/>
        <v>141.51</v>
      </c>
    </row>
    <row r="234" spans="1:19" ht="28.5" customHeight="1" x14ac:dyDescent="0.25">
      <c r="A234" s="16" t="s">
        <v>334</v>
      </c>
      <c r="B234" s="55" t="s">
        <v>561</v>
      </c>
      <c r="C234" s="37">
        <f>+C67+C121</f>
        <v>0</v>
      </c>
      <c r="D234" s="38">
        <f>+D67+D121</f>
        <v>0</v>
      </c>
      <c r="E234" s="39">
        <f>+E67+E121</f>
        <v>0</v>
      </c>
      <c r="F234" s="39">
        <f>+F67+F121</f>
        <v>0</v>
      </c>
      <c r="G234" s="40">
        <f>+G67+G121</f>
        <v>39.010000000000005</v>
      </c>
      <c r="H234" s="22">
        <f t="shared" si="48"/>
        <v>39.010000000000005</v>
      </c>
      <c r="I234" s="38">
        <f>+I67+I121</f>
        <v>0</v>
      </c>
      <c r="J234" s="39">
        <f>+J67+J121</f>
        <v>0</v>
      </c>
      <c r="K234" s="39">
        <f>+K67+K121</f>
        <v>0</v>
      </c>
      <c r="L234" s="40">
        <f>+L67+L121</f>
        <v>0</v>
      </c>
      <c r="M234" s="22">
        <f t="shared" si="66"/>
        <v>0</v>
      </c>
      <c r="N234" s="38">
        <f>+N67+N121</f>
        <v>0</v>
      </c>
      <c r="O234" s="39">
        <f>+O67+O121</f>
        <v>0</v>
      </c>
      <c r="P234" s="39">
        <f>+P67+P121</f>
        <v>0</v>
      </c>
      <c r="Q234" s="40">
        <f>+Q67+Q121</f>
        <v>0</v>
      </c>
      <c r="R234" s="22">
        <f t="shared" si="67"/>
        <v>0</v>
      </c>
      <c r="S234" s="22">
        <f t="shared" si="41"/>
        <v>39.010000000000005</v>
      </c>
    </row>
    <row r="235" spans="1:19" ht="24.75" customHeight="1" x14ac:dyDescent="0.25">
      <c r="A235" s="16" t="s">
        <v>335</v>
      </c>
      <c r="B235" s="55" t="s">
        <v>336</v>
      </c>
      <c r="C235" s="37">
        <f>+C68</f>
        <v>17.998000000000001</v>
      </c>
      <c r="D235" s="38">
        <f>+D68</f>
        <v>0</v>
      </c>
      <c r="E235" s="39">
        <f>+E68</f>
        <v>0</v>
      </c>
      <c r="F235" s="39">
        <f>+F68</f>
        <v>0</v>
      </c>
      <c r="G235" s="40">
        <f>+G68</f>
        <v>0</v>
      </c>
      <c r="H235" s="22">
        <f t="shared" si="48"/>
        <v>0</v>
      </c>
      <c r="I235" s="38">
        <f>+I68</f>
        <v>0</v>
      </c>
      <c r="J235" s="39">
        <f>+J68</f>
        <v>0</v>
      </c>
      <c r="K235" s="39">
        <f>+K68</f>
        <v>0</v>
      </c>
      <c r="L235" s="40">
        <f>+L68</f>
        <v>0</v>
      </c>
      <c r="M235" s="22">
        <f t="shared" si="66"/>
        <v>0</v>
      </c>
      <c r="N235" s="38">
        <f>+N68</f>
        <v>0</v>
      </c>
      <c r="O235" s="39">
        <f>+O68</f>
        <v>0</v>
      </c>
      <c r="P235" s="39">
        <f>+P68</f>
        <v>0</v>
      </c>
      <c r="Q235" s="21">
        <f>+Q68</f>
        <v>0</v>
      </c>
      <c r="R235" s="22">
        <f t="shared" si="67"/>
        <v>0</v>
      </c>
      <c r="S235" s="22">
        <f t="shared" si="41"/>
        <v>0</v>
      </c>
    </row>
    <row r="236" spans="1:19" ht="26.25" customHeight="1" x14ac:dyDescent="0.25">
      <c r="A236" s="16" t="s">
        <v>337</v>
      </c>
      <c r="B236" s="55" t="s">
        <v>338</v>
      </c>
      <c r="C236" s="37">
        <f t="shared" ref="C236:G237" si="68">+C69+C131</f>
        <v>7.9</v>
      </c>
      <c r="D236" s="38">
        <f t="shared" si="68"/>
        <v>0</v>
      </c>
      <c r="E236" s="39">
        <f t="shared" si="68"/>
        <v>0</v>
      </c>
      <c r="F236" s="39">
        <f t="shared" si="68"/>
        <v>0</v>
      </c>
      <c r="G236" s="40">
        <f t="shared" si="68"/>
        <v>0</v>
      </c>
      <c r="H236" s="22">
        <f t="shared" si="48"/>
        <v>0</v>
      </c>
      <c r="I236" s="38">
        <f t="shared" ref="I236:L237" si="69">+I69+I131</f>
        <v>0</v>
      </c>
      <c r="J236" s="39">
        <f t="shared" si="69"/>
        <v>0</v>
      </c>
      <c r="K236" s="39">
        <f t="shared" si="69"/>
        <v>0</v>
      </c>
      <c r="L236" s="40">
        <f t="shared" si="69"/>
        <v>0</v>
      </c>
      <c r="M236" s="22">
        <f t="shared" si="66"/>
        <v>0</v>
      </c>
      <c r="N236" s="38">
        <f t="shared" ref="N236:Q237" si="70">+N69+N131</f>
        <v>0</v>
      </c>
      <c r="O236" s="39">
        <f t="shared" si="70"/>
        <v>0</v>
      </c>
      <c r="P236" s="39">
        <f t="shared" si="70"/>
        <v>0</v>
      </c>
      <c r="Q236" s="40">
        <f t="shared" si="70"/>
        <v>0</v>
      </c>
      <c r="R236" s="22">
        <f t="shared" si="67"/>
        <v>0</v>
      </c>
      <c r="S236" s="22">
        <f t="shared" si="41"/>
        <v>0</v>
      </c>
    </row>
    <row r="237" spans="1:19" ht="27" customHeight="1" x14ac:dyDescent="0.25">
      <c r="A237" s="16" t="s">
        <v>339</v>
      </c>
      <c r="B237" s="55" t="s">
        <v>340</v>
      </c>
      <c r="C237" s="37">
        <f t="shared" si="68"/>
        <v>17.1646</v>
      </c>
      <c r="D237" s="38">
        <f t="shared" si="68"/>
        <v>0</v>
      </c>
      <c r="E237" s="39">
        <f t="shared" si="68"/>
        <v>0</v>
      </c>
      <c r="F237" s="39">
        <f t="shared" si="68"/>
        <v>0</v>
      </c>
      <c r="G237" s="40">
        <f t="shared" si="68"/>
        <v>137.41</v>
      </c>
      <c r="H237" s="22">
        <f t="shared" si="48"/>
        <v>137.41</v>
      </c>
      <c r="I237" s="38">
        <f t="shared" si="69"/>
        <v>0</v>
      </c>
      <c r="J237" s="39">
        <f t="shared" si="69"/>
        <v>0</v>
      </c>
      <c r="K237" s="39">
        <f t="shared" si="69"/>
        <v>0</v>
      </c>
      <c r="L237" s="40">
        <f t="shared" si="69"/>
        <v>0</v>
      </c>
      <c r="M237" s="22">
        <f t="shared" si="66"/>
        <v>0</v>
      </c>
      <c r="N237" s="38">
        <f t="shared" si="70"/>
        <v>0</v>
      </c>
      <c r="O237" s="39">
        <f t="shared" si="70"/>
        <v>0</v>
      </c>
      <c r="P237" s="39">
        <f t="shared" si="70"/>
        <v>0</v>
      </c>
      <c r="Q237" s="40">
        <f t="shared" si="70"/>
        <v>0</v>
      </c>
      <c r="R237" s="22">
        <f t="shared" si="67"/>
        <v>0</v>
      </c>
      <c r="S237" s="22">
        <f t="shared" si="41"/>
        <v>137.41</v>
      </c>
    </row>
    <row r="238" spans="1:19" ht="27" customHeight="1" x14ac:dyDescent="0.25">
      <c r="A238" s="16" t="s">
        <v>341</v>
      </c>
      <c r="B238" s="55" t="s">
        <v>522</v>
      </c>
      <c r="C238" s="37">
        <f>+C71+C125</f>
        <v>27.439700000000002</v>
      </c>
      <c r="D238" s="38">
        <f>+D71+D125</f>
        <v>0</v>
      </c>
      <c r="E238" s="39">
        <f>+E71+E125</f>
        <v>0</v>
      </c>
      <c r="F238" s="39">
        <f>+F71+F125</f>
        <v>0</v>
      </c>
      <c r="G238" s="40">
        <f>+G71+G125</f>
        <v>0</v>
      </c>
      <c r="H238" s="22">
        <f t="shared" si="48"/>
        <v>0</v>
      </c>
      <c r="I238" s="38">
        <f>+I71+I125</f>
        <v>0</v>
      </c>
      <c r="J238" s="39">
        <f>+J71+J125</f>
        <v>0</v>
      </c>
      <c r="K238" s="39">
        <f>+K71+K125</f>
        <v>0</v>
      </c>
      <c r="L238" s="40">
        <f>+L71+L125</f>
        <v>0</v>
      </c>
      <c r="M238" s="22">
        <f t="shared" si="66"/>
        <v>0</v>
      </c>
      <c r="N238" s="38">
        <f>+N71+N125</f>
        <v>0</v>
      </c>
      <c r="O238" s="39">
        <f>+O71+O125</f>
        <v>0</v>
      </c>
      <c r="P238" s="39">
        <f>+P71+P125</f>
        <v>0</v>
      </c>
      <c r="Q238" s="40">
        <f>+Q71+Q125</f>
        <v>0</v>
      </c>
      <c r="R238" s="22">
        <f t="shared" si="67"/>
        <v>0</v>
      </c>
      <c r="S238" s="22">
        <f t="shared" si="41"/>
        <v>0</v>
      </c>
    </row>
    <row r="239" spans="1:19" ht="27" customHeight="1" x14ac:dyDescent="0.25">
      <c r="A239" s="16" t="s">
        <v>342</v>
      </c>
      <c r="B239" s="55" t="s">
        <v>343</v>
      </c>
      <c r="C239" s="37">
        <f t="shared" ref="C239:G242" si="71">+C72</f>
        <v>24.465</v>
      </c>
      <c r="D239" s="38">
        <f t="shared" si="71"/>
        <v>0</v>
      </c>
      <c r="E239" s="39">
        <f t="shared" si="71"/>
        <v>0</v>
      </c>
      <c r="F239" s="39">
        <f t="shared" si="71"/>
        <v>0</v>
      </c>
      <c r="G239" s="40">
        <f t="shared" si="71"/>
        <v>0</v>
      </c>
      <c r="H239" s="22">
        <f t="shared" si="48"/>
        <v>0</v>
      </c>
      <c r="I239" s="38">
        <f t="shared" ref="I239:L242" si="72">+I72</f>
        <v>0</v>
      </c>
      <c r="J239" s="39">
        <f t="shared" si="72"/>
        <v>0</v>
      </c>
      <c r="K239" s="39">
        <f t="shared" si="72"/>
        <v>0</v>
      </c>
      <c r="L239" s="40">
        <f t="shared" si="72"/>
        <v>0</v>
      </c>
      <c r="M239" s="22">
        <f t="shared" si="66"/>
        <v>0</v>
      </c>
      <c r="N239" s="38">
        <f t="shared" ref="N239:Q242" si="73">+N72</f>
        <v>0</v>
      </c>
      <c r="O239" s="39">
        <f t="shared" si="73"/>
        <v>0</v>
      </c>
      <c r="P239" s="39">
        <f t="shared" si="73"/>
        <v>0</v>
      </c>
      <c r="Q239" s="40">
        <f t="shared" si="73"/>
        <v>0</v>
      </c>
      <c r="R239" s="22">
        <f t="shared" si="67"/>
        <v>0</v>
      </c>
      <c r="S239" s="22">
        <f t="shared" si="41"/>
        <v>0</v>
      </c>
    </row>
    <row r="240" spans="1:19" ht="24" customHeight="1" x14ac:dyDescent="0.25">
      <c r="A240" s="16" t="s">
        <v>344</v>
      </c>
      <c r="B240" s="55" t="s">
        <v>104</v>
      </c>
      <c r="C240" s="37">
        <f t="shared" si="71"/>
        <v>11.3</v>
      </c>
      <c r="D240" s="38">
        <f t="shared" si="71"/>
        <v>0</v>
      </c>
      <c r="E240" s="39">
        <f t="shared" si="71"/>
        <v>0</v>
      </c>
      <c r="F240" s="39">
        <f t="shared" si="71"/>
        <v>0</v>
      </c>
      <c r="G240" s="40">
        <f t="shared" si="71"/>
        <v>0</v>
      </c>
      <c r="H240" s="22">
        <f t="shared" si="48"/>
        <v>0</v>
      </c>
      <c r="I240" s="38">
        <f t="shared" si="72"/>
        <v>0</v>
      </c>
      <c r="J240" s="39">
        <f t="shared" si="72"/>
        <v>0</v>
      </c>
      <c r="K240" s="39">
        <f t="shared" si="72"/>
        <v>0</v>
      </c>
      <c r="L240" s="40">
        <f t="shared" si="72"/>
        <v>0</v>
      </c>
      <c r="M240" s="22">
        <f t="shared" si="66"/>
        <v>0</v>
      </c>
      <c r="N240" s="38">
        <f t="shared" si="73"/>
        <v>0</v>
      </c>
      <c r="O240" s="39">
        <f t="shared" si="73"/>
        <v>0</v>
      </c>
      <c r="P240" s="39">
        <f t="shared" si="73"/>
        <v>0</v>
      </c>
      <c r="Q240" s="40">
        <f t="shared" si="73"/>
        <v>0</v>
      </c>
      <c r="R240" s="22">
        <f t="shared" si="67"/>
        <v>0</v>
      </c>
      <c r="S240" s="22">
        <f t="shared" si="41"/>
        <v>0</v>
      </c>
    </row>
    <row r="241" spans="1:19" ht="27" customHeight="1" x14ac:dyDescent="0.25">
      <c r="A241" s="16" t="s">
        <v>345</v>
      </c>
      <c r="B241" s="55" t="s">
        <v>346</v>
      </c>
      <c r="C241" s="37">
        <f t="shared" si="71"/>
        <v>12.038399999999999</v>
      </c>
      <c r="D241" s="38">
        <f t="shared" si="71"/>
        <v>0</v>
      </c>
      <c r="E241" s="39">
        <f t="shared" si="71"/>
        <v>0</v>
      </c>
      <c r="F241" s="39">
        <f t="shared" si="71"/>
        <v>0</v>
      </c>
      <c r="G241" s="40">
        <f t="shared" si="71"/>
        <v>0</v>
      </c>
      <c r="H241" s="22">
        <f t="shared" si="48"/>
        <v>0</v>
      </c>
      <c r="I241" s="38">
        <f t="shared" si="72"/>
        <v>0</v>
      </c>
      <c r="J241" s="39">
        <f t="shared" si="72"/>
        <v>0</v>
      </c>
      <c r="K241" s="39">
        <f t="shared" si="72"/>
        <v>0</v>
      </c>
      <c r="L241" s="40">
        <f t="shared" si="72"/>
        <v>0</v>
      </c>
      <c r="M241" s="22">
        <f t="shared" si="66"/>
        <v>0</v>
      </c>
      <c r="N241" s="38">
        <f t="shared" si="73"/>
        <v>0</v>
      </c>
      <c r="O241" s="39">
        <f t="shared" si="73"/>
        <v>0</v>
      </c>
      <c r="P241" s="39">
        <f t="shared" si="73"/>
        <v>0</v>
      </c>
      <c r="Q241" s="40">
        <f t="shared" si="73"/>
        <v>0</v>
      </c>
      <c r="R241" s="22">
        <f t="shared" si="67"/>
        <v>0</v>
      </c>
      <c r="S241" s="22">
        <f t="shared" si="41"/>
        <v>0</v>
      </c>
    </row>
    <row r="242" spans="1:19" ht="27.75" customHeight="1" x14ac:dyDescent="0.25">
      <c r="A242" s="16" t="s">
        <v>347</v>
      </c>
      <c r="B242" s="55" t="s">
        <v>523</v>
      </c>
      <c r="C242" s="37">
        <f t="shared" si="71"/>
        <v>3.0166900000000001</v>
      </c>
      <c r="D242" s="38">
        <f t="shared" si="71"/>
        <v>0</v>
      </c>
      <c r="E242" s="39">
        <f t="shared" si="71"/>
        <v>0</v>
      </c>
      <c r="F242" s="39">
        <f t="shared" si="71"/>
        <v>0</v>
      </c>
      <c r="G242" s="40">
        <f t="shared" si="71"/>
        <v>0</v>
      </c>
      <c r="H242" s="22">
        <f t="shared" si="48"/>
        <v>0</v>
      </c>
      <c r="I242" s="38">
        <f t="shared" si="72"/>
        <v>0</v>
      </c>
      <c r="J242" s="39">
        <f t="shared" si="72"/>
        <v>0</v>
      </c>
      <c r="K242" s="39">
        <f t="shared" si="72"/>
        <v>0</v>
      </c>
      <c r="L242" s="40">
        <f t="shared" si="72"/>
        <v>0</v>
      </c>
      <c r="M242" s="22">
        <f t="shared" si="66"/>
        <v>0</v>
      </c>
      <c r="N242" s="38">
        <f t="shared" si="73"/>
        <v>0</v>
      </c>
      <c r="O242" s="39">
        <f t="shared" si="73"/>
        <v>0</v>
      </c>
      <c r="P242" s="39">
        <f t="shared" si="73"/>
        <v>0</v>
      </c>
      <c r="Q242" s="40">
        <f t="shared" si="73"/>
        <v>0</v>
      </c>
      <c r="R242" s="22">
        <f t="shared" si="67"/>
        <v>0</v>
      </c>
      <c r="S242" s="22">
        <f t="shared" si="41"/>
        <v>0</v>
      </c>
    </row>
    <row r="243" spans="1:19" ht="27.75" customHeight="1" x14ac:dyDescent="0.25">
      <c r="A243" s="16" t="s">
        <v>348</v>
      </c>
      <c r="B243" s="42" t="s">
        <v>161</v>
      </c>
      <c r="C243" s="37">
        <f>+C109</f>
        <v>0</v>
      </c>
      <c r="D243" s="38">
        <f>+D109</f>
        <v>0</v>
      </c>
      <c r="E243" s="39">
        <f>+E109</f>
        <v>0</v>
      </c>
      <c r="F243" s="39">
        <f>+F109</f>
        <v>0</v>
      </c>
      <c r="G243" s="40">
        <f>+G109</f>
        <v>26</v>
      </c>
      <c r="H243" s="22">
        <f t="shared" si="48"/>
        <v>26</v>
      </c>
      <c r="I243" s="38">
        <f>+I109</f>
        <v>0</v>
      </c>
      <c r="J243" s="39">
        <f>+J109</f>
        <v>0</v>
      </c>
      <c r="K243" s="39">
        <f>+K109</f>
        <v>0</v>
      </c>
      <c r="L243" s="40">
        <f>+L109</f>
        <v>0</v>
      </c>
      <c r="M243" s="22">
        <f t="shared" si="66"/>
        <v>0</v>
      </c>
      <c r="N243" s="38">
        <f>+N109</f>
        <v>0</v>
      </c>
      <c r="O243" s="39">
        <f>+O109</f>
        <v>0</v>
      </c>
      <c r="P243" s="39">
        <f>+P109</f>
        <v>0</v>
      </c>
      <c r="Q243" s="40">
        <f>+Q109</f>
        <v>0</v>
      </c>
      <c r="R243" s="22">
        <f t="shared" si="67"/>
        <v>0</v>
      </c>
      <c r="S243" s="22">
        <f t="shared" si="41"/>
        <v>26</v>
      </c>
    </row>
    <row r="244" spans="1:19" ht="24" customHeight="1" x14ac:dyDescent="0.25">
      <c r="A244" s="16" t="s">
        <v>349</v>
      </c>
      <c r="B244" s="55" t="s">
        <v>580</v>
      </c>
      <c r="C244" s="37">
        <f>+C128</f>
        <v>0</v>
      </c>
      <c r="D244" s="38">
        <f>+D128</f>
        <v>0</v>
      </c>
      <c r="E244" s="39">
        <f>+E128</f>
        <v>0</v>
      </c>
      <c r="F244" s="39">
        <f>+F128</f>
        <v>0</v>
      </c>
      <c r="G244" s="40">
        <f>+G128</f>
        <v>11.28</v>
      </c>
      <c r="H244" s="22">
        <f t="shared" si="48"/>
        <v>11.28</v>
      </c>
      <c r="I244" s="38">
        <f>+I128</f>
        <v>0</v>
      </c>
      <c r="J244" s="39">
        <f>+J128</f>
        <v>30</v>
      </c>
      <c r="K244" s="39">
        <f>+K128</f>
        <v>124.63</v>
      </c>
      <c r="L244" s="40">
        <f>+L128</f>
        <v>120</v>
      </c>
      <c r="M244" s="22">
        <f t="shared" si="66"/>
        <v>274.63</v>
      </c>
      <c r="N244" s="38">
        <f>+N128</f>
        <v>0</v>
      </c>
      <c r="O244" s="39">
        <f>+O128</f>
        <v>0</v>
      </c>
      <c r="P244" s="39">
        <f>+P128</f>
        <v>0</v>
      </c>
      <c r="Q244" s="40">
        <f>+Q128</f>
        <v>0</v>
      </c>
      <c r="R244" s="22">
        <f t="shared" si="67"/>
        <v>0</v>
      </c>
      <c r="S244" s="22">
        <f>+H244+M244+R244+0.01</f>
        <v>285.91999999999996</v>
      </c>
    </row>
    <row r="245" spans="1:19" ht="36.75" customHeight="1" x14ac:dyDescent="0.25">
      <c r="A245" s="16" t="s">
        <v>350</v>
      </c>
      <c r="B245" s="55" t="s">
        <v>581</v>
      </c>
      <c r="C245" s="37">
        <f>+C129+C76</f>
        <v>0</v>
      </c>
      <c r="D245" s="38">
        <f>+D129+D76</f>
        <v>0</v>
      </c>
      <c r="E245" s="39">
        <f>+E129+E76</f>
        <v>0</v>
      </c>
      <c r="F245" s="39">
        <f>+F129+F76</f>
        <v>0</v>
      </c>
      <c r="G245" s="40">
        <f>+G129+G76</f>
        <v>1.56</v>
      </c>
      <c r="H245" s="22">
        <f t="shared" si="48"/>
        <v>1.56</v>
      </c>
      <c r="I245" s="38">
        <f>+I129+I76</f>
        <v>0</v>
      </c>
      <c r="J245" s="39">
        <f>+J129+J76</f>
        <v>28.6</v>
      </c>
      <c r="K245" s="39">
        <f>+K129+K76</f>
        <v>40</v>
      </c>
      <c r="L245" s="40">
        <f>+L129+L76</f>
        <v>61.77</v>
      </c>
      <c r="M245" s="22">
        <f t="shared" si="66"/>
        <v>130.37</v>
      </c>
      <c r="N245" s="38">
        <f>+N129+N76</f>
        <v>0</v>
      </c>
      <c r="O245" s="39">
        <f>+O129+O76</f>
        <v>0</v>
      </c>
      <c r="P245" s="39">
        <f>+P129+P76</f>
        <v>0</v>
      </c>
      <c r="Q245" s="40">
        <f>+Q129+Q76</f>
        <v>0</v>
      </c>
      <c r="R245" s="22">
        <f t="shared" si="67"/>
        <v>0</v>
      </c>
      <c r="S245" s="22">
        <f t="shared" ref="S245:S306" si="74">+H245+M245+R245</f>
        <v>131.93</v>
      </c>
    </row>
    <row r="246" spans="1:19" ht="28.5" customHeight="1" x14ac:dyDescent="0.25">
      <c r="A246" s="16" t="s">
        <v>351</v>
      </c>
      <c r="B246" s="55" t="s">
        <v>545</v>
      </c>
      <c r="C246" s="37">
        <f>+C130</f>
        <v>0</v>
      </c>
      <c r="D246" s="38">
        <f>+D130</f>
        <v>0</v>
      </c>
      <c r="E246" s="39">
        <f>+E130</f>
        <v>0</v>
      </c>
      <c r="F246" s="39">
        <f>+F130</f>
        <v>0</v>
      </c>
      <c r="G246" s="40">
        <f>+G130</f>
        <v>0</v>
      </c>
      <c r="H246" s="22">
        <f t="shared" si="48"/>
        <v>0</v>
      </c>
      <c r="I246" s="38">
        <f>+I130</f>
        <v>0</v>
      </c>
      <c r="J246" s="39">
        <f>+J130</f>
        <v>0</v>
      </c>
      <c r="K246" s="39">
        <f>+K130</f>
        <v>5</v>
      </c>
      <c r="L246" s="40">
        <f>+L130</f>
        <v>6.51</v>
      </c>
      <c r="M246" s="22">
        <f t="shared" si="66"/>
        <v>11.51</v>
      </c>
      <c r="N246" s="38">
        <f>+N130</f>
        <v>20</v>
      </c>
      <c r="O246" s="39">
        <f>+O130</f>
        <v>20</v>
      </c>
      <c r="P246" s="39">
        <f>+P130</f>
        <v>50</v>
      </c>
      <c r="Q246" s="40">
        <f>+Q130</f>
        <v>62.89</v>
      </c>
      <c r="R246" s="22">
        <f t="shared" si="67"/>
        <v>152.88999999999999</v>
      </c>
      <c r="S246" s="22">
        <f t="shared" si="74"/>
        <v>164.39999999999998</v>
      </c>
    </row>
    <row r="247" spans="1:19" ht="15" customHeight="1" x14ac:dyDescent="0.25">
      <c r="A247" s="16" t="s">
        <v>352</v>
      </c>
      <c r="B247" s="55" t="s">
        <v>199</v>
      </c>
      <c r="C247" s="37">
        <f t="shared" ref="C247:G248" si="75">+C133</f>
        <v>0</v>
      </c>
      <c r="D247" s="38">
        <f t="shared" si="75"/>
        <v>0</v>
      </c>
      <c r="E247" s="39">
        <f t="shared" si="75"/>
        <v>0</v>
      </c>
      <c r="F247" s="39">
        <f t="shared" si="75"/>
        <v>0</v>
      </c>
      <c r="G247" s="40">
        <f t="shared" si="75"/>
        <v>0</v>
      </c>
      <c r="H247" s="22">
        <f t="shared" si="48"/>
        <v>0</v>
      </c>
      <c r="I247" s="38">
        <f t="shared" ref="I247:L248" si="76">+I133</f>
        <v>0</v>
      </c>
      <c r="J247" s="39">
        <f t="shared" si="76"/>
        <v>0</v>
      </c>
      <c r="K247" s="39">
        <f t="shared" si="76"/>
        <v>0</v>
      </c>
      <c r="L247" s="40">
        <f t="shared" si="76"/>
        <v>0</v>
      </c>
      <c r="M247" s="22">
        <f t="shared" si="66"/>
        <v>0</v>
      </c>
      <c r="N247" s="38">
        <f t="shared" ref="N247:Q248" si="77">+N133</f>
        <v>8.3000000000000007</v>
      </c>
      <c r="O247" s="39">
        <f t="shared" si="77"/>
        <v>20</v>
      </c>
      <c r="P247" s="39">
        <f t="shared" si="77"/>
        <v>60</v>
      </c>
      <c r="Q247" s="40">
        <f t="shared" si="77"/>
        <v>60</v>
      </c>
      <c r="R247" s="22">
        <f t="shared" si="67"/>
        <v>148.30000000000001</v>
      </c>
      <c r="S247" s="22">
        <f t="shared" si="74"/>
        <v>148.30000000000001</v>
      </c>
    </row>
    <row r="248" spans="1:19" ht="27.75" customHeight="1" x14ac:dyDescent="0.25">
      <c r="A248" s="16" t="s">
        <v>353</v>
      </c>
      <c r="B248" s="55" t="s">
        <v>354</v>
      </c>
      <c r="C248" s="37">
        <f t="shared" si="75"/>
        <v>0</v>
      </c>
      <c r="D248" s="38">
        <f t="shared" si="75"/>
        <v>0</v>
      </c>
      <c r="E248" s="39">
        <f t="shared" si="75"/>
        <v>0</v>
      </c>
      <c r="F248" s="39">
        <f t="shared" si="75"/>
        <v>0</v>
      </c>
      <c r="G248" s="40">
        <f t="shared" si="75"/>
        <v>0</v>
      </c>
      <c r="H248" s="22">
        <f t="shared" si="48"/>
        <v>0</v>
      </c>
      <c r="I248" s="38">
        <f t="shared" si="76"/>
        <v>0</v>
      </c>
      <c r="J248" s="39">
        <f t="shared" si="76"/>
        <v>0</v>
      </c>
      <c r="K248" s="39">
        <f t="shared" si="76"/>
        <v>0</v>
      </c>
      <c r="L248" s="40">
        <f t="shared" si="76"/>
        <v>0</v>
      </c>
      <c r="M248" s="22">
        <f t="shared" si="66"/>
        <v>0</v>
      </c>
      <c r="N248" s="38">
        <f t="shared" si="77"/>
        <v>10</v>
      </c>
      <c r="O248" s="39">
        <f t="shared" si="77"/>
        <v>10</v>
      </c>
      <c r="P248" s="39">
        <f t="shared" si="77"/>
        <v>10</v>
      </c>
      <c r="Q248" s="40">
        <f t="shared" si="77"/>
        <v>25.4</v>
      </c>
      <c r="R248" s="22">
        <f t="shared" si="67"/>
        <v>55.4</v>
      </c>
      <c r="S248" s="22">
        <f t="shared" si="74"/>
        <v>55.4</v>
      </c>
    </row>
    <row r="249" spans="1:19" ht="24" customHeight="1" x14ac:dyDescent="0.25">
      <c r="A249" s="16" t="s">
        <v>355</v>
      </c>
      <c r="B249" s="55" t="s">
        <v>356</v>
      </c>
      <c r="C249" s="37">
        <f>+C77+C137</f>
        <v>6.3000000000000007</v>
      </c>
      <c r="D249" s="38">
        <f>+D77+D137</f>
        <v>0</v>
      </c>
      <c r="E249" s="39">
        <f>+E77+E137</f>
        <v>0</v>
      </c>
      <c r="F249" s="39">
        <f>+F77+F137</f>
        <v>0</v>
      </c>
      <c r="G249" s="40">
        <f>+G77+G137</f>
        <v>0</v>
      </c>
      <c r="H249" s="22">
        <f t="shared" si="48"/>
        <v>0</v>
      </c>
      <c r="I249" s="38">
        <f>+I77+I137</f>
        <v>0</v>
      </c>
      <c r="J249" s="39">
        <f>+J77+J137</f>
        <v>15.05</v>
      </c>
      <c r="K249" s="39">
        <f>+K77+K137</f>
        <v>60</v>
      </c>
      <c r="L249" s="40">
        <f>+L77+L137</f>
        <v>57.769999999999996</v>
      </c>
      <c r="M249" s="22">
        <f t="shared" si="66"/>
        <v>132.82</v>
      </c>
      <c r="N249" s="38">
        <f>+N77+N137</f>
        <v>0</v>
      </c>
      <c r="O249" s="39">
        <f>+O77+O137</f>
        <v>0</v>
      </c>
      <c r="P249" s="39">
        <f>+P77+P137</f>
        <v>0</v>
      </c>
      <c r="Q249" s="40">
        <f>+Q77+Q137</f>
        <v>0</v>
      </c>
      <c r="R249" s="22">
        <f t="shared" si="67"/>
        <v>0</v>
      </c>
      <c r="S249" s="22">
        <f t="shared" si="74"/>
        <v>132.82</v>
      </c>
    </row>
    <row r="250" spans="1:19" ht="15" customHeight="1" x14ac:dyDescent="0.25">
      <c r="A250" s="16" t="s">
        <v>357</v>
      </c>
      <c r="B250" s="59" t="s">
        <v>113</v>
      </c>
      <c r="C250" s="37">
        <f t="shared" ref="C250:G252" si="78">+C78</f>
        <v>14.14048</v>
      </c>
      <c r="D250" s="38">
        <f t="shared" si="78"/>
        <v>0</v>
      </c>
      <c r="E250" s="39">
        <f t="shared" si="78"/>
        <v>0</v>
      </c>
      <c r="F250" s="39">
        <f t="shared" si="78"/>
        <v>20.309999999999999</v>
      </c>
      <c r="G250" s="40">
        <f t="shared" si="78"/>
        <v>0</v>
      </c>
      <c r="H250" s="22">
        <f t="shared" si="48"/>
        <v>20.309999999999999</v>
      </c>
      <c r="I250" s="38">
        <f t="shared" ref="I250:L252" si="79">+I78</f>
        <v>0</v>
      </c>
      <c r="J250" s="39">
        <f t="shared" si="79"/>
        <v>0</v>
      </c>
      <c r="K250" s="39">
        <f t="shared" si="79"/>
        <v>0</v>
      </c>
      <c r="L250" s="40">
        <f t="shared" si="79"/>
        <v>0</v>
      </c>
      <c r="M250" s="22">
        <f t="shared" si="66"/>
        <v>0</v>
      </c>
      <c r="N250" s="38">
        <f t="shared" ref="N250:Q252" si="80">+N78</f>
        <v>0</v>
      </c>
      <c r="O250" s="39">
        <f t="shared" si="80"/>
        <v>0</v>
      </c>
      <c r="P250" s="39">
        <f t="shared" si="80"/>
        <v>0</v>
      </c>
      <c r="Q250" s="40">
        <f t="shared" si="80"/>
        <v>0</v>
      </c>
      <c r="R250" s="22">
        <f t="shared" si="67"/>
        <v>0</v>
      </c>
      <c r="S250" s="22">
        <f t="shared" si="74"/>
        <v>20.309999999999999</v>
      </c>
    </row>
    <row r="251" spans="1:19" ht="26.25" customHeight="1" x14ac:dyDescent="0.25">
      <c r="A251" s="16" t="s">
        <v>358</v>
      </c>
      <c r="B251" s="55" t="s">
        <v>359</v>
      </c>
      <c r="C251" s="37">
        <f t="shared" si="78"/>
        <v>8.0761199999999995</v>
      </c>
      <c r="D251" s="32">
        <f t="shared" si="78"/>
        <v>0</v>
      </c>
      <c r="E251" s="33">
        <f t="shared" si="78"/>
        <v>0</v>
      </c>
      <c r="F251" s="33">
        <f t="shared" si="78"/>
        <v>0</v>
      </c>
      <c r="G251" s="34">
        <f t="shared" si="78"/>
        <v>0</v>
      </c>
      <c r="H251" s="22">
        <f t="shared" si="48"/>
        <v>0</v>
      </c>
      <c r="I251" s="32">
        <f t="shared" si="79"/>
        <v>0</v>
      </c>
      <c r="J251" s="33">
        <f t="shared" si="79"/>
        <v>0</v>
      </c>
      <c r="K251" s="33">
        <f t="shared" si="79"/>
        <v>0</v>
      </c>
      <c r="L251" s="34">
        <f t="shared" si="79"/>
        <v>0</v>
      </c>
      <c r="M251" s="22">
        <f t="shared" si="66"/>
        <v>0</v>
      </c>
      <c r="N251" s="32">
        <f t="shared" si="80"/>
        <v>0</v>
      </c>
      <c r="O251" s="33">
        <f t="shared" si="80"/>
        <v>0</v>
      </c>
      <c r="P251" s="33">
        <f t="shared" si="80"/>
        <v>0</v>
      </c>
      <c r="Q251" s="34">
        <f t="shared" si="80"/>
        <v>0</v>
      </c>
      <c r="R251" s="22">
        <f t="shared" si="67"/>
        <v>0</v>
      </c>
      <c r="S251" s="22">
        <f t="shared" si="74"/>
        <v>0</v>
      </c>
    </row>
    <row r="252" spans="1:19" ht="18" customHeight="1" x14ac:dyDescent="0.25">
      <c r="A252" s="16" t="s">
        <v>360</v>
      </c>
      <c r="B252" s="59" t="s">
        <v>524</v>
      </c>
      <c r="C252" s="37">
        <f t="shared" si="78"/>
        <v>0</v>
      </c>
      <c r="D252" s="38">
        <f t="shared" si="78"/>
        <v>0</v>
      </c>
      <c r="E252" s="39">
        <f t="shared" si="78"/>
        <v>0</v>
      </c>
      <c r="F252" s="39">
        <f t="shared" si="78"/>
        <v>0</v>
      </c>
      <c r="G252" s="40">
        <f t="shared" si="78"/>
        <v>0</v>
      </c>
      <c r="H252" s="22">
        <f t="shared" si="48"/>
        <v>0</v>
      </c>
      <c r="I252" s="38">
        <f t="shared" si="79"/>
        <v>0</v>
      </c>
      <c r="J252" s="39">
        <f t="shared" si="79"/>
        <v>0</v>
      </c>
      <c r="K252" s="39">
        <f t="shared" si="79"/>
        <v>0</v>
      </c>
      <c r="L252" s="40">
        <f t="shared" si="79"/>
        <v>0</v>
      </c>
      <c r="M252" s="22">
        <f t="shared" si="66"/>
        <v>0</v>
      </c>
      <c r="N252" s="38">
        <f t="shared" si="80"/>
        <v>0</v>
      </c>
      <c r="O252" s="39">
        <f t="shared" si="80"/>
        <v>0</v>
      </c>
      <c r="P252" s="39">
        <f t="shared" si="80"/>
        <v>30</v>
      </c>
      <c r="Q252" s="40">
        <f t="shared" si="80"/>
        <v>30</v>
      </c>
      <c r="R252" s="22">
        <f t="shared" si="67"/>
        <v>60</v>
      </c>
      <c r="S252" s="22">
        <f t="shared" si="74"/>
        <v>60</v>
      </c>
    </row>
    <row r="253" spans="1:19" ht="24.75" customHeight="1" x14ac:dyDescent="0.25">
      <c r="A253" s="16" t="s">
        <v>361</v>
      </c>
      <c r="B253" s="55" t="s">
        <v>362</v>
      </c>
      <c r="C253" s="37">
        <f>+C81+C136</f>
        <v>0</v>
      </c>
      <c r="D253" s="38">
        <f>+D81+D136</f>
        <v>0</v>
      </c>
      <c r="E253" s="39">
        <f>+E81+E136</f>
        <v>0</v>
      </c>
      <c r="F253" s="39">
        <f>+F81+F136</f>
        <v>0</v>
      </c>
      <c r="G253" s="40">
        <f>+G81+G136</f>
        <v>0</v>
      </c>
      <c r="H253" s="22">
        <f t="shared" si="48"/>
        <v>0</v>
      </c>
      <c r="I253" s="38">
        <f>+I81+I136</f>
        <v>16</v>
      </c>
      <c r="J253" s="39">
        <f>+J81+J136</f>
        <v>28.7</v>
      </c>
      <c r="K253" s="39">
        <f>+K81+K136</f>
        <v>19</v>
      </c>
      <c r="L253" s="40">
        <f>+L81+L136</f>
        <v>22</v>
      </c>
      <c r="M253" s="22">
        <f t="shared" ref="M253:M284" si="81">SUM(I253:L253)</f>
        <v>85.7</v>
      </c>
      <c r="N253" s="38">
        <f>+N81+N136</f>
        <v>11.2</v>
      </c>
      <c r="O253" s="39">
        <f>+O81+O136</f>
        <v>10</v>
      </c>
      <c r="P253" s="39">
        <f>+P81+P136</f>
        <v>10</v>
      </c>
      <c r="Q253" s="40">
        <f>+Q81+Q136</f>
        <v>0</v>
      </c>
      <c r="R253" s="22">
        <f t="shared" si="67"/>
        <v>31.2</v>
      </c>
      <c r="S253" s="22">
        <f t="shared" si="74"/>
        <v>116.9</v>
      </c>
    </row>
    <row r="254" spans="1:19" ht="27" customHeight="1" x14ac:dyDescent="0.25">
      <c r="A254" s="16" t="s">
        <v>363</v>
      </c>
      <c r="B254" s="55" t="s">
        <v>119</v>
      </c>
      <c r="C254" s="37">
        <f t="shared" ref="C254:G258" si="82">+C82</f>
        <v>0</v>
      </c>
      <c r="D254" s="38">
        <f t="shared" si="82"/>
        <v>0</v>
      </c>
      <c r="E254" s="39">
        <f t="shared" si="82"/>
        <v>0</v>
      </c>
      <c r="F254" s="39">
        <f t="shared" si="82"/>
        <v>0</v>
      </c>
      <c r="G254" s="40">
        <f t="shared" si="82"/>
        <v>0</v>
      </c>
      <c r="H254" s="22">
        <f t="shared" si="48"/>
        <v>0</v>
      </c>
      <c r="I254" s="38">
        <f t="shared" ref="I254:L258" si="83">+I82</f>
        <v>0</v>
      </c>
      <c r="J254" s="39">
        <f t="shared" si="83"/>
        <v>0</v>
      </c>
      <c r="K254" s="39">
        <f t="shared" si="83"/>
        <v>0</v>
      </c>
      <c r="L254" s="40">
        <f t="shared" si="83"/>
        <v>20</v>
      </c>
      <c r="M254" s="22">
        <f t="shared" si="81"/>
        <v>20</v>
      </c>
      <c r="N254" s="38">
        <f t="shared" ref="N254:Q258" si="84">+N82</f>
        <v>0</v>
      </c>
      <c r="O254" s="39">
        <f t="shared" si="84"/>
        <v>0</v>
      </c>
      <c r="P254" s="39">
        <f t="shared" si="84"/>
        <v>0</v>
      </c>
      <c r="Q254" s="40">
        <f t="shared" si="84"/>
        <v>0</v>
      </c>
      <c r="R254" s="22">
        <f t="shared" si="67"/>
        <v>0</v>
      </c>
      <c r="S254" s="22">
        <f t="shared" si="74"/>
        <v>20</v>
      </c>
    </row>
    <row r="255" spans="1:19" ht="15" customHeight="1" x14ac:dyDescent="0.25">
      <c r="A255" s="16" t="s">
        <v>364</v>
      </c>
      <c r="B255" s="59" t="s">
        <v>121</v>
      </c>
      <c r="C255" s="37">
        <f t="shared" si="82"/>
        <v>39.779269999999997</v>
      </c>
      <c r="D255" s="38">
        <f t="shared" si="82"/>
        <v>0</v>
      </c>
      <c r="E255" s="39">
        <f t="shared" si="82"/>
        <v>0</v>
      </c>
      <c r="F255" s="39">
        <f t="shared" si="82"/>
        <v>0</v>
      </c>
      <c r="G255" s="40">
        <f t="shared" si="82"/>
        <v>0</v>
      </c>
      <c r="H255" s="22">
        <f t="shared" si="48"/>
        <v>0</v>
      </c>
      <c r="I255" s="38">
        <f t="shared" si="83"/>
        <v>0</v>
      </c>
      <c r="J255" s="39">
        <f t="shared" si="83"/>
        <v>0</v>
      </c>
      <c r="K255" s="39">
        <f t="shared" si="83"/>
        <v>0</v>
      </c>
      <c r="L255" s="40">
        <f t="shared" si="83"/>
        <v>0</v>
      </c>
      <c r="M255" s="22">
        <f t="shared" si="81"/>
        <v>0</v>
      </c>
      <c r="N255" s="38">
        <f t="shared" si="84"/>
        <v>0</v>
      </c>
      <c r="O255" s="39">
        <f t="shared" si="84"/>
        <v>0</v>
      </c>
      <c r="P255" s="39">
        <f t="shared" si="84"/>
        <v>0</v>
      </c>
      <c r="Q255" s="40">
        <f t="shared" si="84"/>
        <v>0</v>
      </c>
      <c r="R255" s="22">
        <f t="shared" si="67"/>
        <v>0</v>
      </c>
      <c r="S255" s="22">
        <f t="shared" si="74"/>
        <v>0</v>
      </c>
    </row>
    <row r="256" spans="1:19" ht="26.25" customHeight="1" x14ac:dyDescent="0.25">
      <c r="A256" s="16" t="s">
        <v>365</v>
      </c>
      <c r="B256" s="55" t="s">
        <v>538</v>
      </c>
      <c r="C256" s="37">
        <f t="shared" si="82"/>
        <v>0</v>
      </c>
      <c r="D256" s="38">
        <f t="shared" si="82"/>
        <v>0</v>
      </c>
      <c r="E256" s="39">
        <f t="shared" si="82"/>
        <v>0</v>
      </c>
      <c r="F256" s="39">
        <f t="shared" si="82"/>
        <v>0</v>
      </c>
      <c r="G256" s="40">
        <f t="shared" si="82"/>
        <v>0</v>
      </c>
      <c r="H256" s="22">
        <f t="shared" si="48"/>
        <v>0</v>
      </c>
      <c r="I256" s="38">
        <f t="shared" si="83"/>
        <v>0</v>
      </c>
      <c r="J256" s="39">
        <f t="shared" si="83"/>
        <v>5</v>
      </c>
      <c r="K256" s="39">
        <f t="shared" si="83"/>
        <v>10</v>
      </c>
      <c r="L256" s="40">
        <f t="shared" si="83"/>
        <v>3.4</v>
      </c>
      <c r="M256" s="22">
        <f t="shared" si="81"/>
        <v>18.399999999999999</v>
      </c>
      <c r="N256" s="38">
        <f t="shared" si="84"/>
        <v>0</v>
      </c>
      <c r="O256" s="39">
        <f t="shared" si="84"/>
        <v>0</v>
      </c>
      <c r="P256" s="39">
        <f t="shared" si="84"/>
        <v>0</v>
      </c>
      <c r="Q256" s="40">
        <f t="shared" si="84"/>
        <v>0</v>
      </c>
      <c r="R256" s="22">
        <f t="shared" si="67"/>
        <v>0</v>
      </c>
      <c r="S256" s="22">
        <f t="shared" si="74"/>
        <v>18.399999999999999</v>
      </c>
    </row>
    <row r="257" spans="1:19" ht="27" customHeight="1" x14ac:dyDescent="0.25">
      <c r="A257" s="16" t="s">
        <v>366</v>
      </c>
      <c r="B257" s="55" t="s">
        <v>124</v>
      </c>
      <c r="C257" s="37">
        <f t="shared" si="82"/>
        <v>0</v>
      </c>
      <c r="D257" s="38">
        <f t="shared" si="82"/>
        <v>0</v>
      </c>
      <c r="E257" s="39">
        <f t="shared" si="82"/>
        <v>0</v>
      </c>
      <c r="F257" s="39">
        <f t="shared" si="82"/>
        <v>0</v>
      </c>
      <c r="G257" s="40">
        <f t="shared" si="82"/>
        <v>0</v>
      </c>
      <c r="H257" s="22">
        <f t="shared" si="48"/>
        <v>0</v>
      </c>
      <c r="I257" s="38">
        <f t="shared" si="83"/>
        <v>0</v>
      </c>
      <c r="J257" s="39">
        <f t="shared" si="83"/>
        <v>0</v>
      </c>
      <c r="K257" s="39">
        <f t="shared" si="83"/>
        <v>0</v>
      </c>
      <c r="L257" s="40">
        <f t="shared" si="83"/>
        <v>0</v>
      </c>
      <c r="M257" s="22">
        <f t="shared" si="81"/>
        <v>0</v>
      </c>
      <c r="N257" s="38">
        <f t="shared" si="84"/>
        <v>0</v>
      </c>
      <c r="O257" s="39">
        <f t="shared" si="84"/>
        <v>10</v>
      </c>
      <c r="P257" s="39">
        <f t="shared" si="84"/>
        <v>15</v>
      </c>
      <c r="Q257" s="40">
        <f t="shared" si="84"/>
        <v>0</v>
      </c>
      <c r="R257" s="22">
        <f t="shared" si="67"/>
        <v>25</v>
      </c>
      <c r="S257" s="22">
        <f t="shared" si="74"/>
        <v>25</v>
      </c>
    </row>
    <row r="258" spans="1:19" ht="27" customHeight="1" x14ac:dyDescent="0.25">
      <c r="A258" s="16" t="s">
        <v>367</v>
      </c>
      <c r="B258" s="55" t="s">
        <v>551</v>
      </c>
      <c r="C258" s="37">
        <f t="shared" si="82"/>
        <v>0</v>
      </c>
      <c r="D258" s="38">
        <f t="shared" si="82"/>
        <v>0</v>
      </c>
      <c r="E258" s="39">
        <f t="shared" si="82"/>
        <v>0</v>
      </c>
      <c r="F258" s="39">
        <f t="shared" si="82"/>
        <v>0</v>
      </c>
      <c r="G258" s="40">
        <f t="shared" si="82"/>
        <v>0</v>
      </c>
      <c r="H258" s="22">
        <f t="shared" si="48"/>
        <v>0</v>
      </c>
      <c r="I258" s="38">
        <f t="shared" si="83"/>
        <v>0</v>
      </c>
      <c r="J258" s="39">
        <f t="shared" si="83"/>
        <v>0</v>
      </c>
      <c r="K258" s="39">
        <f t="shared" si="83"/>
        <v>15.99</v>
      </c>
      <c r="L258" s="40">
        <f t="shared" si="83"/>
        <v>16</v>
      </c>
      <c r="M258" s="22">
        <f t="shared" si="81"/>
        <v>31.990000000000002</v>
      </c>
      <c r="N258" s="38">
        <f t="shared" si="84"/>
        <v>0</v>
      </c>
      <c r="O258" s="39">
        <f t="shared" si="84"/>
        <v>0</v>
      </c>
      <c r="P258" s="39">
        <f t="shared" si="84"/>
        <v>0</v>
      </c>
      <c r="Q258" s="40">
        <f t="shared" si="84"/>
        <v>0</v>
      </c>
      <c r="R258" s="22">
        <f t="shared" si="67"/>
        <v>0</v>
      </c>
      <c r="S258" s="22">
        <f t="shared" si="74"/>
        <v>31.990000000000002</v>
      </c>
    </row>
    <row r="259" spans="1:19" ht="26.25" customHeight="1" x14ac:dyDescent="0.25">
      <c r="A259" s="16" t="s">
        <v>368</v>
      </c>
      <c r="B259" s="55" t="s">
        <v>577</v>
      </c>
      <c r="C259" s="37">
        <f>+C112</f>
        <v>3.8119999999999998</v>
      </c>
      <c r="D259" s="38">
        <f>+D112</f>
        <v>0</v>
      </c>
      <c r="E259" s="39">
        <f>+E112</f>
        <v>40</v>
      </c>
      <c r="F259" s="39">
        <f>+F112</f>
        <v>40.17</v>
      </c>
      <c r="G259" s="40">
        <f>+G112</f>
        <v>0</v>
      </c>
      <c r="H259" s="22">
        <f t="shared" si="48"/>
        <v>80.17</v>
      </c>
      <c r="I259" s="38">
        <f>+I112</f>
        <v>0</v>
      </c>
      <c r="J259" s="39">
        <f>+J112</f>
        <v>0</v>
      </c>
      <c r="K259" s="39">
        <f>+K112</f>
        <v>0</v>
      </c>
      <c r="L259" s="40">
        <f>+L112</f>
        <v>0</v>
      </c>
      <c r="M259" s="22">
        <f t="shared" si="81"/>
        <v>0</v>
      </c>
      <c r="N259" s="38">
        <f>+N112</f>
        <v>0</v>
      </c>
      <c r="O259" s="39">
        <f>+O112</f>
        <v>0</v>
      </c>
      <c r="P259" s="39">
        <f>+P112</f>
        <v>0</v>
      </c>
      <c r="Q259" s="40">
        <f>+Q112</f>
        <v>0</v>
      </c>
      <c r="R259" s="22">
        <f t="shared" si="67"/>
        <v>0</v>
      </c>
      <c r="S259" s="22">
        <f t="shared" si="74"/>
        <v>80.17</v>
      </c>
    </row>
    <row r="260" spans="1:19" ht="27.75" customHeight="1" x14ac:dyDescent="0.25">
      <c r="A260" s="16" t="s">
        <v>369</v>
      </c>
      <c r="B260" s="55" t="s">
        <v>370</v>
      </c>
      <c r="C260" s="37">
        <f t="shared" ref="C260:G261" si="85">+C123</f>
        <v>18.728000000000002</v>
      </c>
      <c r="D260" s="38">
        <f t="shared" si="85"/>
        <v>0</v>
      </c>
      <c r="E260" s="39">
        <f t="shared" si="85"/>
        <v>0</v>
      </c>
      <c r="F260" s="39">
        <f t="shared" si="85"/>
        <v>0</v>
      </c>
      <c r="G260" s="40">
        <f t="shared" si="85"/>
        <v>0</v>
      </c>
      <c r="H260" s="22">
        <f t="shared" si="48"/>
        <v>0</v>
      </c>
      <c r="I260" s="38">
        <f t="shared" ref="I260:L261" si="86">+I123</f>
        <v>0</v>
      </c>
      <c r="J260" s="39">
        <f t="shared" si="86"/>
        <v>0</v>
      </c>
      <c r="K260" s="39">
        <f t="shared" si="86"/>
        <v>0</v>
      </c>
      <c r="L260" s="40">
        <f t="shared" si="86"/>
        <v>0</v>
      </c>
      <c r="M260" s="22">
        <f t="shared" si="81"/>
        <v>0</v>
      </c>
      <c r="N260" s="38">
        <f t="shared" ref="N260:Q261" si="87">+N123</f>
        <v>0</v>
      </c>
      <c r="O260" s="39">
        <f t="shared" si="87"/>
        <v>0</v>
      </c>
      <c r="P260" s="39">
        <f t="shared" si="87"/>
        <v>0</v>
      </c>
      <c r="Q260" s="40">
        <f t="shared" si="87"/>
        <v>0</v>
      </c>
      <c r="R260" s="22">
        <f t="shared" si="67"/>
        <v>0</v>
      </c>
      <c r="S260" s="22">
        <f t="shared" si="74"/>
        <v>0</v>
      </c>
    </row>
    <row r="261" spans="1:19" ht="15" customHeight="1" x14ac:dyDescent="0.25">
      <c r="A261" s="16" t="s">
        <v>371</v>
      </c>
      <c r="B261" s="59" t="s">
        <v>185</v>
      </c>
      <c r="C261" s="37">
        <f t="shared" si="85"/>
        <v>40.276919999999997</v>
      </c>
      <c r="D261" s="38">
        <f t="shared" si="85"/>
        <v>0</v>
      </c>
      <c r="E261" s="39">
        <f t="shared" si="85"/>
        <v>0</v>
      </c>
      <c r="F261" s="39">
        <f t="shared" si="85"/>
        <v>0</v>
      </c>
      <c r="G261" s="40">
        <f t="shared" si="85"/>
        <v>0</v>
      </c>
      <c r="H261" s="22">
        <f t="shared" si="48"/>
        <v>0</v>
      </c>
      <c r="I261" s="38">
        <f t="shared" si="86"/>
        <v>0</v>
      </c>
      <c r="J261" s="39">
        <f t="shared" si="86"/>
        <v>0</v>
      </c>
      <c r="K261" s="39">
        <f t="shared" si="86"/>
        <v>0</v>
      </c>
      <c r="L261" s="40">
        <f t="shared" si="86"/>
        <v>0</v>
      </c>
      <c r="M261" s="22">
        <f t="shared" si="81"/>
        <v>0</v>
      </c>
      <c r="N261" s="38">
        <f t="shared" si="87"/>
        <v>0</v>
      </c>
      <c r="O261" s="39">
        <f t="shared" si="87"/>
        <v>0</v>
      </c>
      <c r="P261" s="39">
        <f t="shared" si="87"/>
        <v>0</v>
      </c>
      <c r="Q261" s="40">
        <f t="shared" si="87"/>
        <v>0</v>
      </c>
      <c r="R261" s="22">
        <f t="shared" si="67"/>
        <v>0</v>
      </c>
      <c r="S261" s="22">
        <f t="shared" si="74"/>
        <v>0</v>
      </c>
    </row>
    <row r="262" spans="1:19" ht="15" customHeight="1" x14ac:dyDescent="0.25">
      <c r="A262" s="16" t="s">
        <v>372</v>
      </c>
      <c r="B262" s="59" t="s">
        <v>189</v>
      </c>
      <c r="C262" s="37">
        <f t="shared" ref="C262:G263" si="88">+C126</f>
        <v>0</v>
      </c>
      <c r="D262" s="38">
        <f t="shared" si="88"/>
        <v>0</v>
      </c>
      <c r="E262" s="39">
        <f t="shared" si="88"/>
        <v>0</v>
      </c>
      <c r="F262" s="39">
        <f t="shared" si="88"/>
        <v>5.13</v>
      </c>
      <c r="G262" s="40">
        <f t="shared" si="88"/>
        <v>0</v>
      </c>
      <c r="H262" s="22">
        <f t="shared" si="48"/>
        <v>5.13</v>
      </c>
      <c r="I262" s="38">
        <f t="shared" ref="I262:L263" si="89">+I126</f>
        <v>0</v>
      </c>
      <c r="J262" s="39">
        <f t="shared" si="89"/>
        <v>0</v>
      </c>
      <c r="K262" s="39">
        <f t="shared" si="89"/>
        <v>0</v>
      </c>
      <c r="L262" s="40">
        <f t="shared" si="89"/>
        <v>0</v>
      </c>
      <c r="M262" s="22">
        <f t="shared" si="81"/>
        <v>0</v>
      </c>
      <c r="N262" s="38">
        <f t="shared" ref="N262:Q263" si="90">+N126</f>
        <v>0</v>
      </c>
      <c r="O262" s="39">
        <f t="shared" si="90"/>
        <v>0</v>
      </c>
      <c r="P262" s="39">
        <f t="shared" si="90"/>
        <v>0</v>
      </c>
      <c r="Q262" s="40">
        <f t="shared" si="90"/>
        <v>0</v>
      </c>
      <c r="R262" s="22">
        <f t="shared" si="67"/>
        <v>0</v>
      </c>
      <c r="S262" s="22">
        <f t="shared" si="74"/>
        <v>5.13</v>
      </c>
    </row>
    <row r="263" spans="1:19" ht="15" customHeight="1" x14ac:dyDescent="0.25">
      <c r="A263" s="16" t="s">
        <v>373</v>
      </c>
      <c r="B263" s="59" t="s">
        <v>582</v>
      </c>
      <c r="C263" s="37">
        <f t="shared" si="88"/>
        <v>2.4605000000000001</v>
      </c>
      <c r="D263" s="38">
        <f t="shared" si="88"/>
        <v>0</v>
      </c>
      <c r="E263" s="39">
        <f t="shared" si="88"/>
        <v>0</v>
      </c>
      <c r="F263" s="39">
        <f t="shared" si="88"/>
        <v>0</v>
      </c>
      <c r="G263" s="40">
        <f t="shared" si="88"/>
        <v>0</v>
      </c>
      <c r="H263" s="22">
        <f t="shared" si="48"/>
        <v>0</v>
      </c>
      <c r="I263" s="38">
        <f t="shared" si="89"/>
        <v>0</v>
      </c>
      <c r="J263" s="39">
        <f t="shared" si="89"/>
        <v>0</v>
      </c>
      <c r="K263" s="39">
        <f t="shared" si="89"/>
        <v>0</v>
      </c>
      <c r="L263" s="40">
        <f t="shared" si="89"/>
        <v>0</v>
      </c>
      <c r="M263" s="22">
        <f t="shared" si="81"/>
        <v>0</v>
      </c>
      <c r="N263" s="38">
        <f t="shared" si="90"/>
        <v>0</v>
      </c>
      <c r="O263" s="39">
        <f t="shared" si="90"/>
        <v>0</v>
      </c>
      <c r="P263" s="39">
        <f t="shared" si="90"/>
        <v>0</v>
      </c>
      <c r="Q263" s="40">
        <f t="shared" si="90"/>
        <v>0</v>
      </c>
      <c r="R263" s="22">
        <f t="shared" si="67"/>
        <v>0</v>
      </c>
      <c r="S263" s="22">
        <f t="shared" si="74"/>
        <v>0</v>
      </c>
    </row>
    <row r="264" spans="1:19" ht="27" customHeight="1" x14ac:dyDescent="0.25">
      <c r="A264" s="16" t="s">
        <v>374</v>
      </c>
      <c r="B264" s="55" t="s">
        <v>375</v>
      </c>
      <c r="C264" s="37">
        <f>+C139</f>
        <v>0</v>
      </c>
      <c r="D264" s="38">
        <f>+D139</f>
        <v>0</v>
      </c>
      <c r="E264" s="39">
        <f>+E139</f>
        <v>0</v>
      </c>
      <c r="F264" s="39">
        <f>+F139</f>
        <v>0</v>
      </c>
      <c r="G264" s="40">
        <f>+G139</f>
        <v>0</v>
      </c>
      <c r="H264" s="22">
        <f t="shared" si="48"/>
        <v>0</v>
      </c>
      <c r="I264" s="38">
        <f>+I139</f>
        <v>0</v>
      </c>
      <c r="J264" s="39">
        <f>+J139</f>
        <v>0</v>
      </c>
      <c r="K264" s="39">
        <f>+K139</f>
        <v>4</v>
      </c>
      <c r="L264" s="40">
        <f>+L139</f>
        <v>4.7</v>
      </c>
      <c r="M264" s="22">
        <f t="shared" si="81"/>
        <v>8.6999999999999993</v>
      </c>
      <c r="N264" s="38">
        <f>+N139</f>
        <v>0</v>
      </c>
      <c r="O264" s="39">
        <f>+O139</f>
        <v>0</v>
      </c>
      <c r="P264" s="39">
        <f>+P139</f>
        <v>0</v>
      </c>
      <c r="Q264" s="40">
        <f>+Q139</f>
        <v>0</v>
      </c>
      <c r="R264" s="22">
        <f t="shared" si="67"/>
        <v>0</v>
      </c>
      <c r="S264" s="22">
        <f t="shared" si="74"/>
        <v>8.6999999999999993</v>
      </c>
    </row>
    <row r="265" spans="1:19" ht="24" customHeight="1" x14ac:dyDescent="0.25">
      <c r="A265" s="16" t="s">
        <v>376</v>
      </c>
      <c r="B265" s="42" t="s">
        <v>541</v>
      </c>
      <c r="C265" s="37">
        <f t="shared" ref="C265:G268" si="91">+C113</f>
        <v>0</v>
      </c>
      <c r="D265" s="38">
        <f t="shared" si="91"/>
        <v>0</v>
      </c>
      <c r="E265" s="39">
        <f t="shared" si="91"/>
        <v>0</v>
      </c>
      <c r="F265" s="39">
        <f t="shared" si="91"/>
        <v>0</v>
      </c>
      <c r="G265" s="40">
        <f t="shared" si="91"/>
        <v>0</v>
      </c>
      <c r="H265" s="22">
        <f t="shared" si="48"/>
        <v>0</v>
      </c>
      <c r="I265" s="38">
        <f t="shared" ref="I265:L268" si="92">+I113</f>
        <v>0</v>
      </c>
      <c r="J265" s="39">
        <f t="shared" si="92"/>
        <v>5</v>
      </c>
      <c r="K265" s="39">
        <f t="shared" si="92"/>
        <v>10</v>
      </c>
      <c r="L265" s="40">
        <f t="shared" si="92"/>
        <v>6.6</v>
      </c>
      <c r="M265" s="22">
        <f t="shared" si="81"/>
        <v>21.6</v>
      </c>
      <c r="N265" s="38">
        <f t="shared" ref="N265:Q268" si="93">+N113</f>
        <v>0</v>
      </c>
      <c r="O265" s="39">
        <f t="shared" si="93"/>
        <v>0</v>
      </c>
      <c r="P265" s="39">
        <f t="shared" si="93"/>
        <v>0</v>
      </c>
      <c r="Q265" s="40">
        <f t="shared" si="93"/>
        <v>0</v>
      </c>
      <c r="R265" s="22">
        <f t="shared" si="67"/>
        <v>0</v>
      </c>
      <c r="S265" s="22">
        <f t="shared" si="74"/>
        <v>21.6</v>
      </c>
    </row>
    <row r="266" spans="1:19" ht="15" customHeight="1" x14ac:dyDescent="0.25">
      <c r="A266" s="16" t="s">
        <v>377</v>
      </c>
      <c r="B266" s="90" t="s">
        <v>167</v>
      </c>
      <c r="C266" s="37">
        <f t="shared" si="91"/>
        <v>0</v>
      </c>
      <c r="D266" s="38">
        <f t="shared" si="91"/>
        <v>0</v>
      </c>
      <c r="E266" s="39">
        <f t="shared" si="91"/>
        <v>0</v>
      </c>
      <c r="F266" s="39">
        <f t="shared" si="91"/>
        <v>0</v>
      </c>
      <c r="G266" s="40">
        <f t="shared" si="91"/>
        <v>0</v>
      </c>
      <c r="H266" s="22">
        <f t="shared" si="48"/>
        <v>0</v>
      </c>
      <c r="I266" s="38">
        <f t="shared" si="92"/>
        <v>0</v>
      </c>
      <c r="J266" s="39">
        <f t="shared" si="92"/>
        <v>0</v>
      </c>
      <c r="K266" s="39">
        <f t="shared" si="92"/>
        <v>0</v>
      </c>
      <c r="L266" s="40">
        <f t="shared" si="92"/>
        <v>0</v>
      </c>
      <c r="M266" s="22">
        <f t="shared" si="81"/>
        <v>0</v>
      </c>
      <c r="N266" s="38">
        <f t="shared" si="93"/>
        <v>0</v>
      </c>
      <c r="O266" s="39">
        <f t="shared" si="93"/>
        <v>0</v>
      </c>
      <c r="P266" s="39">
        <f t="shared" si="93"/>
        <v>0</v>
      </c>
      <c r="Q266" s="40">
        <f t="shared" si="93"/>
        <v>13</v>
      </c>
      <c r="R266" s="22">
        <f t="shared" si="67"/>
        <v>13</v>
      </c>
      <c r="S266" s="22">
        <f t="shared" si="74"/>
        <v>13</v>
      </c>
    </row>
    <row r="267" spans="1:19" ht="15" customHeight="1" x14ac:dyDescent="0.25">
      <c r="A267" s="16" t="s">
        <v>378</v>
      </c>
      <c r="B267" s="90" t="s">
        <v>169</v>
      </c>
      <c r="C267" s="37">
        <f t="shared" si="91"/>
        <v>0</v>
      </c>
      <c r="D267" s="38">
        <f t="shared" si="91"/>
        <v>0</v>
      </c>
      <c r="E267" s="39">
        <f t="shared" si="91"/>
        <v>0</v>
      </c>
      <c r="F267" s="39">
        <f t="shared" si="91"/>
        <v>0</v>
      </c>
      <c r="G267" s="40">
        <f t="shared" si="91"/>
        <v>0</v>
      </c>
      <c r="H267" s="22">
        <f t="shared" si="48"/>
        <v>0</v>
      </c>
      <c r="I267" s="38">
        <f t="shared" si="92"/>
        <v>0</v>
      </c>
      <c r="J267" s="39">
        <f t="shared" si="92"/>
        <v>0</v>
      </c>
      <c r="K267" s="39">
        <f t="shared" si="92"/>
        <v>0</v>
      </c>
      <c r="L267" s="40">
        <f t="shared" si="92"/>
        <v>50</v>
      </c>
      <c r="M267" s="22">
        <f t="shared" si="81"/>
        <v>50</v>
      </c>
      <c r="N267" s="38">
        <f t="shared" si="93"/>
        <v>5</v>
      </c>
      <c r="O267" s="39">
        <f t="shared" si="93"/>
        <v>15</v>
      </c>
      <c r="P267" s="39">
        <f t="shared" si="93"/>
        <v>25</v>
      </c>
      <c r="Q267" s="40">
        <f t="shared" si="93"/>
        <v>31.46</v>
      </c>
      <c r="R267" s="22">
        <f t="shared" si="67"/>
        <v>76.460000000000008</v>
      </c>
      <c r="S267" s="22">
        <f t="shared" si="74"/>
        <v>126.46000000000001</v>
      </c>
    </row>
    <row r="268" spans="1:19" ht="15" customHeight="1" x14ac:dyDescent="0.25">
      <c r="A268" s="16" t="s">
        <v>379</v>
      </c>
      <c r="B268" s="90" t="s">
        <v>171</v>
      </c>
      <c r="C268" s="37">
        <f t="shared" si="91"/>
        <v>0</v>
      </c>
      <c r="D268" s="38">
        <f t="shared" si="91"/>
        <v>0</v>
      </c>
      <c r="E268" s="39">
        <f t="shared" si="91"/>
        <v>0</v>
      </c>
      <c r="F268" s="39">
        <f t="shared" si="91"/>
        <v>0</v>
      </c>
      <c r="G268" s="40">
        <f t="shared" si="91"/>
        <v>0</v>
      </c>
      <c r="H268" s="22">
        <f t="shared" si="48"/>
        <v>0</v>
      </c>
      <c r="I268" s="38">
        <f t="shared" si="92"/>
        <v>0</v>
      </c>
      <c r="J268" s="39">
        <f t="shared" si="92"/>
        <v>0</v>
      </c>
      <c r="K268" s="39">
        <f t="shared" si="92"/>
        <v>0</v>
      </c>
      <c r="L268" s="40">
        <f t="shared" si="92"/>
        <v>0</v>
      </c>
      <c r="M268" s="22">
        <f t="shared" si="81"/>
        <v>0</v>
      </c>
      <c r="N268" s="38">
        <f t="shared" si="93"/>
        <v>0</v>
      </c>
      <c r="O268" s="39">
        <f t="shared" si="93"/>
        <v>0</v>
      </c>
      <c r="P268" s="39">
        <f t="shared" si="93"/>
        <v>10</v>
      </c>
      <c r="Q268" s="40">
        <f t="shared" si="93"/>
        <v>13.7</v>
      </c>
      <c r="R268" s="22">
        <f t="shared" si="67"/>
        <v>23.7</v>
      </c>
      <c r="S268" s="22">
        <f t="shared" si="74"/>
        <v>23.7</v>
      </c>
    </row>
    <row r="269" spans="1:19" ht="15" customHeight="1" x14ac:dyDescent="0.25">
      <c r="A269" s="16" t="s">
        <v>380</v>
      </c>
      <c r="B269" s="90" t="s">
        <v>211</v>
      </c>
      <c r="C269" s="37">
        <f>+C141</f>
        <v>0</v>
      </c>
      <c r="D269" s="38">
        <f>+D141</f>
        <v>0</v>
      </c>
      <c r="E269" s="39">
        <f>+E141</f>
        <v>0</v>
      </c>
      <c r="F269" s="39">
        <f>+F141</f>
        <v>0</v>
      </c>
      <c r="G269" s="40">
        <f>+G141</f>
        <v>0</v>
      </c>
      <c r="H269" s="22">
        <f t="shared" si="48"/>
        <v>0</v>
      </c>
      <c r="I269" s="38">
        <f>+I141</f>
        <v>0</v>
      </c>
      <c r="J269" s="39">
        <f>+J141</f>
        <v>0</v>
      </c>
      <c r="K269" s="39">
        <f>+K141</f>
        <v>0</v>
      </c>
      <c r="L269" s="40">
        <f>+L141</f>
        <v>0</v>
      </c>
      <c r="M269" s="22">
        <f t="shared" si="81"/>
        <v>0</v>
      </c>
      <c r="N269" s="38">
        <f>+N141</f>
        <v>0</v>
      </c>
      <c r="O269" s="39">
        <f>+O141</f>
        <v>0</v>
      </c>
      <c r="P269" s="39">
        <f>+P141</f>
        <v>25</v>
      </c>
      <c r="Q269" s="40">
        <f>+Q141</f>
        <v>29.39</v>
      </c>
      <c r="R269" s="22">
        <f t="shared" si="67"/>
        <v>54.39</v>
      </c>
      <c r="S269" s="22">
        <f t="shared" si="74"/>
        <v>54.39</v>
      </c>
    </row>
    <row r="270" spans="1:19" ht="15" customHeight="1" x14ac:dyDescent="0.25">
      <c r="A270" s="16" t="s">
        <v>381</v>
      </c>
      <c r="B270" s="90" t="s">
        <v>173</v>
      </c>
      <c r="C270" s="37">
        <f t="shared" ref="C270:E273" si="94">+C117</f>
        <v>0</v>
      </c>
      <c r="D270" s="38">
        <f t="shared" si="94"/>
        <v>0</v>
      </c>
      <c r="E270" s="39">
        <f t="shared" si="94"/>
        <v>0</v>
      </c>
      <c r="F270" s="39">
        <f>+F142</f>
        <v>0</v>
      </c>
      <c r="G270" s="40">
        <f>+G142</f>
        <v>0</v>
      </c>
      <c r="H270" s="22">
        <f t="shared" ref="H270:H299" si="95">SUM(D270:G270)</f>
        <v>0</v>
      </c>
      <c r="I270" s="38">
        <f t="shared" ref="I270:L273" si="96">+I117</f>
        <v>0</v>
      </c>
      <c r="J270" s="39">
        <f t="shared" si="96"/>
        <v>25</v>
      </c>
      <c r="K270" s="39">
        <f t="shared" si="96"/>
        <v>25</v>
      </c>
      <c r="L270" s="40">
        <f t="shared" si="96"/>
        <v>5.89</v>
      </c>
      <c r="M270" s="22">
        <f t="shared" si="81"/>
        <v>55.89</v>
      </c>
      <c r="N270" s="38">
        <f t="shared" ref="N270:Q273" si="97">+N117</f>
        <v>0</v>
      </c>
      <c r="O270" s="39">
        <f t="shared" si="97"/>
        <v>0</v>
      </c>
      <c r="P270" s="39">
        <f t="shared" si="97"/>
        <v>0</v>
      </c>
      <c r="Q270" s="40">
        <f t="shared" si="97"/>
        <v>0</v>
      </c>
      <c r="R270" s="22">
        <f t="shared" si="67"/>
        <v>0</v>
      </c>
      <c r="S270" s="22">
        <f t="shared" si="74"/>
        <v>55.89</v>
      </c>
    </row>
    <row r="271" spans="1:19" ht="15" customHeight="1" x14ac:dyDescent="0.25">
      <c r="A271" s="16" t="s">
        <v>382</v>
      </c>
      <c r="B271" s="90" t="s">
        <v>175</v>
      </c>
      <c r="C271" s="37">
        <f t="shared" si="94"/>
        <v>0</v>
      </c>
      <c r="D271" s="38">
        <f t="shared" si="94"/>
        <v>0</v>
      </c>
      <c r="E271" s="39">
        <f t="shared" si="94"/>
        <v>0</v>
      </c>
      <c r="F271" s="39">
        <f>+F118</f>
        <v>0</v>
      </c>
      <c r="G271" s="40">
        <f>+G118</f>
        <v>0</v>
      </c>
      <c r="H271" s="22">
        <f t="shared" si="95"/>
        <v>0</v>
      </c>
      <c r="I271" s="38">
        <f t="shared" si="96"/>
        <v>0</v>
      </c>
      <c r="J271" s="39">
        <f t="shared" si="96"/>
        <v>0</v>
      </c>
      <c r="K271" s="39">
        <f t="shared" si="96"/>
        <v>0</v>
      </c>
      <c r="L271" s="40">
        <f t="shared" si="96"/>
        <v>0</v>
      </c>
      <c r="M271" s="22">
        <f t="shared" si="81"/>
        <v>0</v>
      </c>
      <c r="N271" s="38">
        <f t="shared" si="97"/>
        <v>0</v>
      </c>
      <c r="O271" s="39">
        <f t="shared" si="97"/>
        <v>10</v>
      </c>
      <c r="P271" s="39">
        <f t="shared" si="97"/>
        <v>10</v>
      </c>
      <c r="Q271" s="40">
        <f t="shared" si="97"/>
        <v>13</v>
      </c>
      <c r="R271" s="22">
        <f t="shared" si="67"/>
        <v>33</v>
      </c>
      <c r="S271" s="22">
        <f t="shared" si="74"/>
        <v>33</v>
      </c>
    </row>
    <row r="272" spans="1:19" ht="15" customHeight="1" x14ac:dyDescent="0.25">
      <c r="A272" s="16" t="s">
        <v>383</v>
      </c>
      <c r="B272" s="90" t="s">
        <v>177</v>
      </c>
      <c r="C272" s="37">
        <f t="shared" si="94"/>
        <v>0</v>
      </c>
      <c r="D272" s="38">
        <f t="shared" si="94"/>
        <v>0</v>
      </c>
      <c r="E272" s="39">
        <f t="shared" si="94"/>
        <v>0</v>
      </c>
      <c r="F272" s="39">
        <f>+F157</f>
        <v>0</v>
      </c>
      <c r="G272" s="40">
        <f>+G157</f>
        <v>0</v>
      </c>
      <c r="H272" s="22">
        <f t="shared" si="95"/>
        <v>0</v>
      </c>
      <c r="I272" s="38">
        <f t="shared" si="96"/>
        <v>0</v>
      </c>
      <c r="J272" s="39">
        <f t="shared" si="96"/>
        <v>25</v>
      </c>
      <c r="K272" s="39">
        <f t="shared" si="96"/>
        <v>50</v>
      </c>
      <c r="L272" s="40">
        <f t="shared" si="96"/>
        <v>0</v>
      </c>
      <c r="M272" s="22">
        <f t="shared" si="81"/>
        <v>75</v>
      </c>
      <c r="N272" s="38">
        <f t="shared" si="97"/>
        <v>0</v>
      </c>
      <c r="O272" s="39">
        <f t="shared" si="97"/>
        <v>0</v>
      </c>
      <c r="P272" s="39">
        <f t="shared" si="97"/>
        <v>0</v>
      </c>
      <c r="Q272" s="40">
        <f t="shared" si="97"/>
        <v>0</v>
      </c>
      <c r="R272" s="22">
        <f t="shared" si="67"/>
        <v>0</v>
      </c>
      <c r="S272" s="22">
        <f t="shared" si="74"/>
        <v>75</v>
      </c>
    </row>
    <row r="273" spans="1:19" ht="15" customHeight="1" x14ac:dyDescent="0.25">
      <c r="A273" s="16" t="s">
        <v>384</v>
      </c>
      <c r="B273" s="90" t="s">
        <v>179</v>
      </c>
      <c r="C273" s="37">
        <f t="shared" si="94"/>
        <v>16.283000000000001</v>
      </c>
      <c r="D273" s="38">
        <f t="shared" si="94"/>
        <v>0</v>
      </c>
      <c r="E273" s="39">
        <f t="shared" si="94"/>
        <v>10</v>
      </c>
      <c r="F273" s="39">
        <f>+F120</f>
        <v>12.59</v>
      </c>
      <c r="G273" s="40">
        <f>+G120</f>
        <v>0</v>
      </c>
      <c r="H273" s="22">
        <f t="shared" si="95"/>
        <v>22.59</v>
      </c>
      <c r="I273" s="38">
        <f t="shared" si="96"/>
        <v>0</v>
      </c>
      <c r="J273" s="39">
        <f t="shared" si="96"/>
        <v>0</v>
      </c>
      <c r="K273" s="39">
        <f t="shared" si="96"/>
        <v>0</v>
      </c>
      <c r="L273" s="40">
        <f t="shared" si="96"/>
        <v>0</v>
      </c>
      <c r="M273" s="22">
        <f t="shared" si="81"/>
        <v>0</v>
      </c>
      <c r="N273" s="38">
        <f t="shared" si="97"/>
        <v>0</v>
      </c>
      <c r="O273" s="39">
        <f t="shared" si="97"/>
        <v>0</v>
      </c>
      <c r="P273" s="39">
        <f t="shared" si="97"/>
        <v>0</v>
      </c>
      <c r="Q273" s="40">
        <f t="shared" si="97"/>
        <v>0</v>
      </c>
      <c r="R273" s="22">
        <f t="shared" si="67"/>
        <v>0</v>
      </c>
      <c r="S273" s="22">
        <f t="shared" si="74"/>
        <v>22.59</v>
      </c>
    </row>
    <row r="274" spans="1:19" ht="15" customHeight="1" x14ac:dyDescent="0.25">
      <c r="A274" s="16" t="s">
        <v>385</v>
      </c>
      <c r="B274" s="90" t="s">
        <v>182</v>
      </c>
      <c r="C274" s="37">
        <f>+C122</f>
        <v>32.075000000000003</v>
      </c>
      <c r="D274" s="38">
        <f>+D122</f>
        <v>0</v>
      </c>
      <c r="E274" s="39">
        <f>+E122</f>
        <v>0</v>
      </c>
      <c r="F274" s="39">
        <f>+F122</f>
        <v>0</v>
      </c>
      <c r="G274" s="40">
        <f>+G122</f>
        <v>0</v>
      </c>
      <c r="H274" s="22">
        <f t="shared" si="95"/>
        <v>0</v>
      </c>
      <c r="I274" s="38">
        <f>+I122</f>
        <v>0</v>
      </c>
      <c r="J274" s="39">
        <f>+J122</f>
        <v>0</v>
      </c>
      <c r="K274" s="39">
        <f>+K122</f>
        <v>0</v>
      </c>
      <c r="L274" s="40">
        <f>+L122</f>
        <v>0</v>
      </c>
      <c r="M274" s="22">
        <f t="shared" si="81"/>
        <v>0</v>
      </c>
      <c r="N274" s="38">
        <f>+N122</f>
        <v>0</v>
      </c>
      <c r="O274" s="39">
        <f>+O122</f>
        <v>0</v>
      </c>
      <c r="P274" s="39">
        <f>+P122</f>
        <v>0</v>
      </c>
      <c r="Q274" s="40">
        <f>+Q122</f>
        <v>0</v>
      </c>
      <c r="R274" s="22">
        <f t="shared" si="67"/>
        <v>0</v>
      </c>
      <c r="S274" s="22">
        <f t="shared" si="74"/>
        <v>0</v>
      </c>
    </row>
    <row r="275" spans="1:19" ht="27" customHeight="1" x14ac:dyDescent="0.25">
      <c r="A275" s="16" t="s">
        <v>386</v>
      </c>
      <c r="B275" s="55" t="s">
        <v>387</v>
      </c>
      <c r="C275" s="37">
        <f t="shared" ref="C275:G276" si="98">+C88</f>
        <v>5</v>
      </c>
      <c r="D275" s="38">
        <f t="shared" si="98"/>
        <v>0</v>
      </c>
      <c r="E275" s="39">
        <f t="shared" si="98"/>
        <v>0</v>
      </c>
      <c r="F275" s="39">
        <f t="shared" si="98"/>
        <v>0</v>
      </c>
      <c r="G275" s="40">
        <f t="shared" si="98"/>
        <v>0</v>
      </c>
      <c r="H275" s="22">
        <f t="shared" si="95"/>
        <v>0</v>
      </c>
      <c r="I275" s="38">
        <f t="shared" ref="I275:L276" si="99">+I88</f>
        <v>0</v>
      </c>
      <c r="J275" s="39">
        <f t="shared" si="99"/>
        <v>0</v>
      </c>
      <c r="K275" s="39">
        <f t="shared" si="99"/>
        <v>0</v>
      </c>
      <c r="L275" s="40">
        <f t="shared" si="99"/>
        <v>0</v>
      </c>
      <c r="M275" s="22">
        <f t="shared" si="81"/>
        <v>0</v>
      </c>
      <c r="N275" s="38">
        <f t="shared" ref="N275:Q276" si="100">+N88</f>
        <v>0</v>
      </c>
      <c r="O275" s="39">
        <f t="shared" si="100"/>
        <v>0</v>
      </c>
      <c r="P275" s="39">
        <f t="shared" si="100"/>
        <v>0</v>
      </c>
      <c r="Q275" s="40">
        <f t="shared" si="100"/>
        <v>0</v>
      </c>
      <c r="R275" s="22">
        <f t="shared" si="67"/>
        <v>0</v>
      </c>
      <c r="S275" s="22">
        <f t="shared" si="74"/>
        <v>0</v>
      </c>
    </row>
    <row r="276" spans="1:19" ht="15" customHeight="1" x14ac:dyDescent="0.25">
      <c r="A276" s="16" t="s">
        <v>388</v>
      </c>
      <c r="B276" s="91" t="s">
        <v>131</v>
      </c>
      <c r="C276" s="37">
        <f t="shared" si="98"/>
        <v>1.085</v>
      </c>
      <c r="D276" s="38">
        <f t="shared" si="98"/>
        <v>0</v>
      </c>
      <c r="E276" s="39">
        <f t="shared" si="98"/>
        <v>0</v>
      </c>
      <c r="F276" s="39">
        <f t="shared" si="98"/>
        <v>0</v>
      </c>
      <c r="G276" s="40">
        <f t="shared" si="98"/>
        <v>0</v>
      </c>
      <c r="H276" s="22">
        <f t="shared" si="95"/>
        <v>0</v>
      </c>
      <c r="I276" s="38">
        <f t="shared" si="99"/>
        <v>0</v>
      </c>
      <c r="J276" s="39">
        <f t="shared" si="99"/>
        <v>0</v>
      </c>
      <c r="K276" s="39">
        <f t="shared" si="99"/>
        <v>0</v>
      </c>
      <c r="L276" s="40">
        <f t="shared" si="99"/>
        <v>0</v>
      </c>
      <c r="M276" s="22">
        <f t="shared" si="81"/>
        <v>0</v>
      </c>
      <c r="N276" s="38">
        <f t="shared" si="100"/>
        <v>0</v>
      </c>
      <c r="O276" s="39">
        <f t="shared" si="100"/>
        <v>0</v>
      </c>
      <c r="P276" s="39">
        <f t="shared" si="100"/>
        <v>0</v>
      </c>
      <c r="Q276" s="40">
        <f t="shared" si="100"/>
        <v>0</v>
      </c>
      <c r="R276" s="22">
        <f t="shared" si="67"/>
        <v>0</v>
      </c>
      <c r="S276" s="22">
        <f t="shared" si="74"/>
        <v>0</v>
      </c>
    </row>
    <row r="277" spans="1:19" ht="15" customHeight="1" x14ac:dyDescent="0.25">
      <c r="A277" s="16" t="s">
        <v>389</v>
      </c>
      <c r="B277" s="92" t="s">
        <v>390</v>
      </c>
      <c r="C277" s="37">
        <f>+C138</f>
        <v>7.9666499999999996</v>
      </c>
      <c r="D277" s="38">
        <f>+D138</f>
        <v>0</v>
      </c>
      <c r="E277" s="39">
        <f>+E138</f>
        <v>0</v>
      </c>
      <c r="F277" s="39">
        <f>+F138</f>
        <v>0</v>
      </c>
      <c r="G277" s="40">
        <f>+G138</f>
        <v>0</v>
      </c>
      <c r="H277" s="22">
        <f t="shared" si="95"/>
        <v>0</v>
      </c>
      <c r="I277" s="38">
        <f>+I138</f>
        <v>0</v>
      </c>
      <c r="J277" s="39">
        <f>+J138</f>
        <v>0</v>
      </c>
      <c r="K277" s="39">
        <f>+K138</f>
        <v>0</v>
      </c>
      <c r="L277" s="40">
        <f>+L138</f>
        <v>0</v>
      </c>
      <c r="M277" s="22">
        <f t="shared" si="81"/>
        <v>0</v>
      </c>
      <c r="N277" s="38">
        <f>+N138</f>
        <v>0</v>
      </c>
      <c r="O277" s="39">
        <f>+O138</f>
        <v>0</v>
      </c>
      <c r="P277" s="39">
        <f>+P138</f>
        <v>0</v>
      </c>
      <c r="Q277" s="40">
        <f>+Q138</f>
        <v>0</v>
      </c>
      <c r="R277" s="22">
        <f t="shared" si="67"/>
        <v>0</v>
      </c>
      <c r="S277" s="22">
        <f t="shared" si="74"/>
        <v>0</v>
      </c>
    </row>
    <row r="278" spans="1:19" ht="15" customHeight="1" x14ac:dyDescent="0.25">
      <c r="A278" s="16" t="s">
        <v>391</v>
      </c>
      <c r="B278" s="90" t="s">
        <v>209</v>
      </c>
      <c r="C278" s="37">
        <f>+C140</f>
        <v>2.415</v>
      </c>
      <c r="D278" s="38">
        <f>+D140</f>
        <v>0</v>
      </c>
      <c r="E278" s="39">
        <f>+E140</f>
        <v>0</v>
      </c>
      <c r="F278" s="39">
        <f>+F140</f>
        <v>0</v>
      </c>
      <c r="G278" s="40">
        <f>+G140</f>
        <v>0</v>
      </c>
      <c r="H278" s="22">
        <f t="shared" si="95"/>
        <v>0</v>
      </c>
      <c r="I278" s="38">
        <f>+I140</f>
        <v>0</v>
      </c>
      <c r="J278" s="39">
        <f>+J140</f>
        <v>0</v>
      </c>
      <c r="K278" s="39">
        <f>+K140</f>
        <v>0</v>
      </c>
      <c r="L278" s="40">
        <f>+L140</f>
        <v>0</v>
      </c>
      <c r="M278" s="22">
        <f t="shared" si="81"/>
        <v>0</v>
      </c>
      <c r="N278" s="38">
        <f>+N140</f>
        <v>0</v>
      </c>
      <c r="O278" s="39">
        <f>+O140</f>
        <v>0</v>
      </c>
      <c r="P278" s="39">
        <f>+P140</f>
        <v>0</v>
      </c>
      <c r="Q278" s="40">
        <f>+Q140</f>
        <v>0</v>
      </c>
      <c r="R278" s="22">
        <f t="shared" si="67"/>
        <v>0</v>
      </c>
      <c r="S278" s="22">
        <f t="shared" si="74"/>
        <v>0</v>
      </c>
    </row>
    <row r="279" spans="1:19" ht="27" customHeight="1" x14ac:dyDescent="0.25">
      <c r="A279" s="16" t="s">
        <v>392</v>
      </c>
      <c r="B279" s="55" t="s">
        <v>393</v>
      </c>
      <c r="C279" s="37">
        <f>+C87+C135</f>
        <v>14</v>
      </c>
      <c r="D279" s="38">
        <f>+D87+D135</f>
        <v>0</v>
      </c>
      <c r="E279" s="39">
        <f>+E87+E135</f>
        <v>0</v>
      </c>
      <c r="F279" s="39">
        <f>+F87+F135</f>
        <v>0</v>
      </c>
      <c r="G279" s="40">
        <f>+G87+G135</f>
        <v>0</v>
      </c>
      <c r="H279" s="22">
        <f t="shared" si="95"/>
        <v>0</v>
      </c>
      <c r="I279" s="38">
        <f>+I87+I135</f>
        <v>0</v>
      </c>
      <c r="J279" s="39">
        <f>+J87+J135</f>
        <v>0</v>
      </c>
      <c r="K279" s="39">
        <f>+K87+K135</f>
        <v>0</v>
      </c>
      <c r="L279" s="40">
        <f>+L87+L135</f>
        <v>0</v>
      </c>
      <c r="M279" s="22">
        <f t="shared" si="81"/>
        <v>0</v>
      </c>
      <c r="N279" s="38">
        <f>+N87+N135</f>
        <v>0</v>
      </c>
      <c r="O279" s="39">
        <f>+O87+O135</f>
        <v>0</v>
      </c>
      <c r="P279" s="39">
        <f>+P87+P135</f>
        <v>0</v>
      </c>
      <c r="Q279" s="40">
        <f>+Q87+Q135</f>
        <v>0</v>
      </c>
      <c r="R279" s="22">
        <f t="shared" si="67"/>
        <v>0</v>
      </c>
      <c r="S279" s="22">
        <f t="shared" si="74"/>
        <v>0</v>
      </c>
    </row>
    <row r="280" spans="1:19" ht="15" customHeight="1" x14ac:dyDescent="0.25">
      <c r="A280" s="16" t="s">
        <v>394</v>
      </c>
      <c r="B280" s="93" t="s">
        <v>213</v>
      </c>
      <c r="C280" s="37">
        <f>+C142</f>
        <v>0</v>
      </c>
      <c r="D280" s="38">
        <f>+D142</f>
        <v>0</v>
      </c>
      <c r="E280" s="39">
        <f>+E142</f>
        <v>0</v>
      </c>
      <c r="F280" s="39">
        <f>+F142</f>
        <v>0</v>
      </c>
      <c r="G280" s="40">
        <f>+G142</f>
        <v>0</v>
      </c>
      <c r="H280" s="22">
        <f t="shared" si="95"/>
        <v>0</v>
      </c>
      <c r="I280" s="38">
        <f>+I142</f>
        <v>0</v>
      </c>
      <c r="J280" s="39">
        <f>+J142</f>
        <v>0</v>
      </c>
      <c r="K280" s="39">
        <f>+K142</f>
        <v>8.0500000000000007</v>
      </c>
      <c r="L280" s="40">
        <f>+L142</f>
        <v>0</v>
      </c>
      <c r="M280" s="22">
        <f t="shared" si="81"/>
        <v>8.0500000000000007</v>
      </c>
      <c r="N280" s="38">
        <f>+N142</f>
        <v>0</v>
      </c>
      <c r="O280" s="39">
        <f>+O142</f>
        <v>0</v>
      </c>
      <c r="P280" s="39">
        <f>+P142</f>
        <v>0</v>
      </c>
      <c r="Q280" s="40">
        <f>+Q142</f>
        <v>0</v>
      </c>
      <c r="R280" s="22">
        <f t="shared" si="67"/>
        <v>0</v>
      </c>
      <c r="S280" s="22">
        <f t="shared" si="74"/>
        <v>8.0500000000000007</v>
      </c>
    </row>
    <row r="281" spans="1:19" ht="15" customHeight="1" x14ac:dyDescent="0.25">
      <c r="A281" s="16" t="s">
        <v>395</v>
      </c>
      <c r="B281" s="94" t="s">
        <v>133</v>
      </c>
      <c r="C281" s="37">
        <f t="shared" ref="C281:G282" si="101">+C90</f>
        <v>0</v>
      </c>
      <c r="D281" s="38">
        <f t="shared" si="101"/>
        <v>0</v>
      </c>
      <c r="E281" s="39">
        <f t="shared" si="101"/>
        <v>0</v>
      </c>
      <c r="F281" s="39">
        <f t="shared" si="101"/>
        <v>0</v>
      </c>
      <c r="G281" s="40">
        <f t="shared" si="101"/>
        <v>0</v>
      </c>
      <c r="H281" s="22">
        <f t="shared" si="95"/>
        <v>0</v>
      </c>
      <c r="I281" s="38">
        <f t="shared" ref="I281:L282" si="102">+I90</f>
        <v>0</v>
      </c>
      <c r="J281" s="39">
        <f t="shared" si="102"/>
        <v>1.1000000000000001</v>
      </c>
      <c r="K281" s="39">
        <f t="shared" si="102"/>
        <v>5</v>
      </c>
      <c r="L281" s="40">
        <f t="shared" si="102"/>
        <v>8.9</v>
      </c>
      <c r="M281" s="22">
        <f t="shared" si="81"/>
        <v>15</v>
      </c>
      <c r="N281" s="38">
        <f t="shared" ref="N281:Q282" si="103">+N90</f>
        <v>0</v>
      </c>
      <c r="O281" s="39">
        <f t="shared" si="103"/>
        <v>0</v>
      </c>
      <c r="P281" s="39">
        <f t="shared" si="103"/>
        <v>0</v>
      </c>
      <c r="Q281" s="40">
        <f t="shared" si="103"/>
        <v>0</v>
      </c>
      <c r="R281" s="22">
        <f t="shared" si="67"/>
        <v>0</v>
      </c>
      <c r="S281" s="22">
        <f t="shared" si="74"/>
        <v>15</v>
      </c>
    </row>
    <row r="282" spans="1:19" ht="15" customHeight="1" x14ac:dyDescent="0.25">
      <c r="A282" s="16" t="s">
        <v>396</v>
      </c>
      <c r="B282" s="93" t="s">
        <v>493</v>
      </c>
      <c r="C282" s="37">
        <f t="shared" si="101"/>
        <v>0</v>
      </c>
      <c r="D282" s="38">
        <f t="shared" si="101"/>
        <v>0</v>
      </c>
      <c r="E282" s="39">
        <f t="shared" si="101"/>
        <v>0</v>
      </c>
      <c r="F282" s="39">
        <f t="shared" si="101"/>
        <v>0</v>
      </c>
      <c r="G282" s="40">
        <f t="shared" si="101"/>
        <v>0</v>
      </c>
      <c r="H282" s="22">
        <f t="shared" si="95"/>
        <v>0</v>
      </c>
      <c r="I282" s="38">
        <f t="shared" si="102"/>
        <v>0</v>
      </c>
      <c r="J282" s="39">
        <f t="shared" si="102"/>
        <v>0</v>
      </c>
      <c r="K282" s="39">
        <f t="shared" si="102"/>
        <v>3</v>
      </c>
      <c r="L282" s="40">
        <f t="shared" si="102"/>
        <v>6.19</v>
      </c>
      <c r="M282" s="22">
        <f t="shared" si="81"/>
        <v>9.1900000000000013</v>
      </c>
      <c r="N282" s="38">
        <f t="shared" si="103"/>
        <v>0</v>
      </c>
      <c r="O282" s="39">
        <f t="shared" si="103"/>
        <v>0</v>
      </c>
      <c r="P282" s="39">
        <f t="shared" si="103"/>
        <v>0</v>
      </c>
      <c r="Q282" s="40">
        <f t="shared" si="103"/>
        <v>0</v>
      </c>
      <c r="R282" s="22">
        <f t="shared" si="67"/>
        <v>0</v>
      </c>
      <c r="S282" s="22">
        <f t="shared" si="74"/>
        <v>9.1900000000000013</v>
      </c>
    </row>
    <row r="283" spans="1:19" ht="15" customHeight="1" x14ac:dyDescent="0.25">
      <c r="A283" s="16" t="s">
        <v>397</v>
      </c>
      <c r="B283" s="93" t="s">
        <v>525</v>
      </c>
      <c r="C283" s="37">
        <f t="shared" ref="C283:G284" si="104">+C100</f>
        <v>0</v>
      </c>
      <c r="D283" s="38">
        <f t="shared" si="104"/>
        <v>0</v>
      </c>
      <c r="E283" s="39">
        <f t="shared" si="104"/>
        <v>0</v>
      </c>
      <c r="F283" s="39">
        <f t="shared" si="104"/>
        <v>0</v>
      </c>
      <c r="G283" s="40">
        <f t="shared" si="104"/>
        <v>0</v>
      </c>
      <c r="H283" s="22">
        <f t="shared" si="95"/>
        <v>0</v>
      </c>
      <c r="I283" s="38">
        <f t="shared" ref="I283:L284" si="105">+I100</f>
        <v>0</v>
      </c>
      <c r="J283" s="39">
        <f t="shared" si="105"/>
        <v>0</v>
      </c>
      <c r="K283" s="39">
        <f t="shared" si="105"/>
        <v>0</v>
      </c>
      <c r="L283" s="40">
        <f t="shared" si="105"/>
        <v>0</v>
      </c>
      <c r="M283" s="22">
        <f t="shared" si="81"/>
        <v>0</v>
      </c>
      <c r="N283" s="38">
        <f t="shared" ref="N283:Q284" si="106">+N100</f>
        <v>5</v>
      </c>
      <c r="O283" s="39">
        <f t="shared" si="106"/>
        <v>10</v>
      </c>
      <c r="P283" s="39">
        <f t="shared" si="106"/>
        <v>15</v>
      </c>
      <c r="Q283" s="40">
        <f t="shared" si="106"/>
        <v>25.98</v>
      </c>
      <c r="R283" s="22">
        <f t="shared" si="67"/>
        <v>55.980000000000004</v>
      </c>
      <c r="S283" s="22">
        <f t="shared" si="74"/>
        <v>55.980000000000004</v>
      </c>
    </row>
    <row r="284" spans="1:19" ht="15" customHeight="1" x14ac:dyDescent="0.25">
      <c r="A284" s="16" t="s">
        <v>398</v>
      </c>
      <c r="B284" s="93" t="s">
        <v>498</v>
      </c>
      <c r="C284" s="37">
        <f t="shared" si="104"/>
        <v>0</v>
      </c>
      <c r="D284" s="38">
        <f t="shared" si="104"/>
        <v>0</v>
      </c>
      <c r="E284" s="39">
        <f t="shared" si="104"/>
        <v>0</v>
      </c>
      <c r="F284" s="39">
        <f t="shared" si="104"/>
        <v>0</v>
      </c>
      <c r="G284" s="40">
        <f t="shared" si="104"/>
        <v>0</v>
      </c>
      <c r="H284" s="22">
        <f t="shared" si="95"/>
        <v>0</v>
      </c>
      <c r="I284" s="38">
        <f t="shared" si="105"/>
        <v>0</v>
      </c>
      <c r="J284" s="39">
        <f t="shared" si="105"/>
        <v>0</v>
      </c>
      <c r="K284" s="39">
        <f t="shared" si="105"/>
        <v>0</v>
      </c>
      <c r="L284" s="40">
        <f t="shared" si="105"/>
        <v>0</v>
      </c>
      <c r="M284" s="22">
        <f t="shared" si="81"/>
        <v>0</v>
      </c>
      <c r="N284" s="38">
        <f t="shared" si="106"/>
        <v>0</v>
      </c>
      <c r="O284" s="39">
        <f t="shared" si="106"/>
        <v>0</v>
      </c>
      <c r="P284" s="39">
        <f t="shared" si="106"/>
        <v>5</v>
      </c>
      <c r="Q284" s="40">
        <f t="shared" si="106"/>
        <v>8</v>
      </c>
      <c r="R284" s="22">
        <f t="shared" si="67"/>
        <v>13</v>
      </c>
      <c r="S284" s="22">
        <f t="shared" si="74"/>
        <v>13</v>
      </c>
    </row>
    <row r="285" spans="1:19" ht="15" customHeight="1" x14ac:dyDescent="0.25">
      <c r="A285" s="16" t="s">
        <v>399</v>
      </c>
      <c r="B285" s="93" t="s">
        <v>494</v>
      </c>
      <c r="C285" s="37">
        <f t="shared" ref="C285:G286" si="107">+C92</f>
        <v>0</v>
      </c>
      <c r="D285" s="38">
        <f t="shared" si="107"/>
        <v>0</v>
      </c>
      <c r="E285" s="39">
        <f t="shared" si="107"/>
        <v>0</v>
      </c>
      <c r="F285" s="39">
        <f t="shared" si="107"/>
        <v>0</v>
      </c>
      <c r="G285" s="40">
        <f t="shared" si="107"/>
        <v>0</v>
      </c>
      <c r="H285" s="22">
        <f t="shared" si="95"/>
        <v>0</v>
      </c>
      <c r="I285" s="38">
        <f t="shared" ref="I285:L286" si="108">+I92</f>
        <v>0</v>
      </c>
      <c r="J285" s="39">
        <f t="shared" si="108"/>
        <v>0</v>
      </c>
      <c r="K285" s="39">
        <f t="shared" si="108"/>
        <v>5</v>
      </c>
      <c r="L285" s="40">
        <f t="shared" si="108"/>
        <v>6.43</v>
      </c>
      <c r="M285" s="22">
        <f t="shared" ref="M285:M301" si="109">SUM(I285:L285)</f>
        <v>11.43</v>
      </c>
      <c r="N285" s="38">
        <f t="shared" ref="N285:Q286" si="110">+N92</f>
        <v>0</v>
      </c>
      <c r="O285" s="39">
        <f t="shared" si="110"/>
        <v>0</v>
      </c>
      <c r="P285" s="39">
        <f t="shared" si="110"/>
        <v>0</v>
      </c>
      <c r="Q285" s="40">
        <f t="shared" si="110"/>
        <v>0</v>
      </c>
      <c r="R285" s="22">
        <f t="shared" ref="R285:R308" si="111">SUM(N285:Q285)</f>
        <v>0</v>
      </c>
      <c r="S285" s="22">
        <f t="shared" si="74"/>
        <v>11.43</v>
      </c>
    </row>
    <row r="286" spans="1:19" ht="15" customHeight="1" x14ac:dyDescent="0.25">
      <c r="A286" s="16" t="s">
        <v>400</v>
      </c>
      <c r="B286" s="93" t="s">
        <v>495</v>
      </c>
      <c r="C286" s="37">
        <f t="shared" si="107"/>
        <v>0</v>
      </c>
      <c r="D286" s="38">
        <f t="shared" si="107"/>
        <v>0</v>
      </c>
      <c r="E286" s="39">
        <f t="shared" si="107"/>
        <v>0</v>
      </c>
      <c r="F286" s="39">
        <f t="shared" si="107"/>
        <v>0</v>
      </c>
      <c r="G286" s="40">
        <f t="shared" si="107"/>
        <v>0</v>
      </c>
      <c r="H286" s="22">
        <f t="shared" si="95"/>
        <v>0</v>
      </c>
      <c r="I286" s="38">
        <f t="shared" si="108"/>
        <v>0</v>
      </c>
      <c r="J286" s="39">
        <f t="shared" si="108"/>
        <v>0</v>
      </c>
      <c r="K286" s="39">
        <f t="shared" si="108"/>
        <v>2</v>
      </c>
      <c r="L286" s="40">
        <f t="shared" si="108"/>
        <v>2.5499999999999998</v>
      </c>
      <c r="M286" s="22">
        <f t="shared" si="109"/>
        <v>4.55</v>
      </c>
      <c r="N286" s="38">
        <f t="shared" si="110"/>
        <v>0</v>
      </c>
      <c r="O286" s="39">
        <f t="shared" si="110"/>
        <v>0</v>
      </c>
      <c r="P286" s="39">
        <f t="shared" si="110"/>
        <v>0</v>
      </c>
      <c r="Q286" s="40">
        <f t="shared" si="110"/>
        <v>0</v>
      </c>
      <c r="R286" s="22">
        <f t="shared" si="111"/>
        <v>0</v>
      </c>
      <c r="S286" s="22">
        <f t="shared" si="74"/>
        <v>4.55</v>
      </c>
    </row>
    <row r="287" spans="1:19" ht="27.75" customHeight="1" x14ac:dyDescent="0.25">
      <c r="A287" s="16" t="s">
        <v>401</v>
      </c>
      <c r="B287" s="60" t="s">
        <v>496</v>
      </c>
      <c r="C287" s="37">
        <f t="shared" ref="C287:G291" si="112">+C95</f>
        <v>0</v>
      </c>
      <c r="D287" s="38">
        <f t="shared" si="112"/>
        <v>0</v>
      </c>
      <c r="E287" s="39">
        <f t="shared" si="112"/>
        <v>0</v>
      </c>
      <c r="F287" s="39">
        <f t="shared" si="112"/>
        <v>0</v>
      </c>
      <c r="G287" s="40">
        <f t="shared" si="112"/>
        <v>0</v>
      </c>
      <c r="H287" s="22">
        <f t="shared" si="95"/>
        <v>0</v>
      </c>
      <c r="I287" s="38">
        <f t="shared" ref="I287:L291" si="113">+I95</f>
        <v>0</v>
      </c>
      <c r="J287" s="39">
        <f t="shared" si="113"/>
        <v>0</v>
      </c>
      <c r="K287" s="39">
        <f t="shared" si="113"/>
        <v>0</v>
      </c>
      <c r="L287" s="40">
        <f t="shared" si="113"/>
        <v>0</v>
      </c>
      <c r="M287" s="22">
        <f t="shared" si="109"/>
        <v>0</v>
      </c>
      <c r="N287" s="38">
        <f t="shared" ref="N287:Q291" si="114">+N95</f>
        <v>1</v>
      </c>
      <c r="O287" s="39">
        <f t="shared" si="114"/>
        <v>1</v>
      </c>
      <c r="P287" s="39">
        <f t="shared" si="114"/>
        <v>1</v>
      </c>
      <c r="Q287" s="40">
        <f t="shared" si="114"/>
        <v>1.7</v>
      </c>
      <c r="R287" s="22">
        <f t="shared" si="111"/>
        <v>4.7</v>
      </c>
      <c r="S287" s="22">
        <f t="shared" si="74"/>
        <v>4.7</v>
      </c>
    </row>
    <row r="288" spans="1:19" ht="15" customHeight="1" x14ac:dyDescent="0.25">
      <c r="A288" s="16" t="s">
        <v>402</v>
      </c>
      <c r="B288" s="93" t="s">
        <v>141</v>
      </c>
      <c r="C288" s="37">
        <f t="shared" si="112"/>
        <v>0</v>
      </c>
      <c r="D288" s="38">
        <f t="shared" si="112"/>
        <v>0</v>
      </c>
      <c r="E288" s="39">
        <f t="shared" si="112"/>
        <v>0</v>
      </c>
      <c r="F288" s="39">
        <f t="shared" si="112"/>
        <v>0</v>
      </c>
      <c r="G288" s="40">
        <f t="shared" si="112"/>
        <v>0</v>
      </c>
      <c r="H288" s="43">
        <f t="shared" si="95"/>
        <v>0</v>
      </c>
      <c r="I288" s="38">
        <f t="shared" si="113"/>
        <v>0</v>
      </c>
      <c r="J288" s="39">
        <f t="shared" si="113"/>
        <v>0</v>
      </c>
      <c r="K288" s="39">
        <f t="shared" si="113"/>
        <v>0</v>
      </c>
      <c r="L288" s="40">
        <f t="shared" si="113"/>
        <v>0</v>
      </c>
      <c r="M288" s="22">
        <f t="shared" si="109"/>
        <v>0</v>
      </c>
      <c r="N288" s="38">
        <f t="shared" si="114"/>
        <v>10</v>
      </c>
      <c r="O288" s="39">
        <f t="shared" si="114"/>
        <v>10</v>
      </c>
      <c r="P288" s="39">
        <f t="shared" si="114"/>
        <v>10</v>
      </c>
      <c r="Q288" s="40">
        <f t="shared" si="114"/>
        <v>16.899999999999999</v>
      </c>
      <c r="R288" s="22">
        <f t="shared" si="111"/>
        <v>46.9</v>
      </c>
      <c r="S288" s="22">
        <f t="shared" si="74"/>
        <v>46.9</v>
      </c>
    </row>
    <row r="289" spans="1:19" ht="15" customHeight="1" x14ac:dyDescent="0.25">
      <c r="A289" s="16" t="s">
        <v>403</v>
      </c>
      <c r="B289" s="93" t="s">
        <v>497</v>
      </c>
      <c r="C289" s="37">
        <f t="shared" si="112"/>
        <v>0</v>
      </c>
      <c r="D289" s="38">
        <f t="shared" si="112"/>
        <v>0</v>
      </c>
      <c r="E289" s="39">
        <f t="shared" si="112"/>
        <v>0</v>
      </c>
      <c r="F289" s="39">
        <f t="shared" si="112"/>
        <v>0</v>
      </c>
      <c r="G289" s="40">
        <f t="shared" si="112"/>
        <v>0</v>
      </c>
      <c r="H289" s="22">
        <f t="shared" si="95"/>
        <v>0</v>
      </c>
      <c r="I289" s="38">
        <f t="shared" si="113"/>
        <v>0</v>
      </c>
      <c r="J289" s="39">
        <f t="shared" si="113"/>
        <v>0</v>
      </c>
      <c r="K289" s="39">
        <f t="shared" si="113"/>
        <v>0</v>
      </c>
      <c r="L289" s="40">
        <f t="shared" si="113"/>
        <v>0</v>
      </c>
      <c r="M289" s="22">
        <f t="shared" si="109"/>
        <v>0</v>
      </c>
      <c r="N289" s="38">
        <f t="shared" si="114"/>
        <v>0</v>
      </c>
      <c r="O289" s="39">
        <f t="shared" si="114"/>
        <v>0</v>
      </c>
      <c r="P289" s="39">
        <f t="shared" si="114"/>
        <v>4</v>
      </c>
      <c r="Q289" s="40">
        <f t="shared" si="114"/>
        <v>12</v>
      </c>
      <c r="R289" s="22">
        <f t="shared" si="111"/>
        <v>16</v>
      </c>
      <c r="S289" s="22">
        <f t="shared" si="74"/>
        <v>16</v>
      </c>
    </row>
    <row r="290" spans="1:19" ht="24" customHeight="1" x14ac:dyDescent="0.25">
      <c r="A290" s="16" t="s">
        <v>404</v>
      </c>
      <c r="B290" s="60" t="s">
        <v>144</v>
      </c>
      <c r="C290" s="37">
        <f t="shared" si="112"/>
        <v>0</v>
      </c>
      <c r="D290" s="38">
        <f t="shared" si="112"/>
        <v>0</v>
      </c>
      <c r="E290" s="39">
        <f t="shared" si="112"/>
        <v>0</v>
      </c>
      <c r="F290" s="39">
        <f t="shared" si="112"/>
        <v>0</v>
      </c>
      <c r="G290" s="40">
        <f t="shared" si="112"/>
        <v>0</v>
      </c>
      <c r="H290" s="22">
        <f t="shared" si="95"/>
        <v>0</v>
      </c>
      <c r="I290" s="38">
        <f t="shared" si="113"/>
        <v>0</v>
      </c>
      <c r="J290" s="39">
        <f t="shared" si="113"/>
        <v>0</v>
      </c>
      <c r="K290" s="39">
        <f t="shared" si="113"/>
        <v>0</v>
      </c>
      <c r="L290" s="40">
        <f t="shared" si="113"/>
        <v>0</v>
      </c>
      <c r="M290" s="22">
        <f t="shared" si="109"/>
        <v>0</v>
      </c>
      <c r="N290" s="38">
        <f t="shared" si="114"/>
        <v>0</v>
      </c>
      <c r="O290" s="39">
        <f t="shared" si="114"/>
        <v>0</v>
      </c>
      <c r="P290" s="39">
        <f t="shared" si="114"/>
        <v>4</v>
      </c>
      <c r="Q290" s="40">
        <f t="shared" si="114"/>
        <v>7.9</v>
      </c>
      <c r="R290" s="22">
        <f t="shared" si="111"/>
        <v>11.9</v>
      </c>
      <c r="S290" s="22">
        <f t="shared" si="74"/>
        <v>11.9</v>
      </c>
    </row>
    <row r="291" spans="1:19" ht="15" customHeight="1" x14ac:dyDescent="0.25">
      <c r="A291" s="16" t="s">
        <v>405</v>
      </c>
      <c r="B291" s="93" t="s">
        <v>146</v>
      </c>
      <c r="C291" s="37">
        <f t="shared" si="112"/>
        <v>0</v>
      </c>
      <c r="D291" s="38">
        <f t="shared" si="112"/>
        <v>0</v>
      </c>
      <c r="E291" s="39">
        <f t="shared" si="112"/>
        <v>0</v>
      </c>
      <c r="F291" s="39">
        <f t="shared" si="112"/>
        <v>0</v>
      </c>
      <c r="G291" s="40">
        <f t="shared" si="112"/>
        <v>0</v>
      </c>
      <c r="H291" s="22">
        <f t="shared" si="95"/>
        <v>0</v>
      </c>
      <c r="I291" s="38">
        <f t="shared" si="113"/>
        <v>0</v>
      </c>
      <c r="J291" s="39">
        <f t="shared" si="113"/>
        <v>0</v>
      </c>
      <c r="K291" s="39">
        <f t="shared" si="113"/>
        <v>0</v>
      </c>
      <c r="L291" s="40">
        <f t="shared" si="113"/>
        <v>0</v>
      </c>
      <c r="M291" s="22">
        <f t="shared" si="109"/>
        <v>0</v>
      </c>
      <c r="N291" s="38">
        <f t="shared" si="114"/>
        <v>5</v>
      </c>
      <c r="O291" s="39">
        <f t="shared" si="114"/>
        <v>5</v>
      </c>
      <c r="P291" s="39">
        <f t="shared" si="114"/>
        <v>10</v>
      </c>
      <c r="Q291" s="40">
        <f t="shared" si="114"/>
        <v>13.71</v>
      </c>
      <c r="R291" s="22">
        <f t="shared" si="111"/>
        <v>33.71</v>
      </c>
      <c r="S291" s="22">
        <f t="shared" si="74"/>
        <v>33.71</v>
      </c>
    </row>
    <row r="292" spans="1:19" ht="15" customHeight="1" x14ac:dyDescent="0.25">
      <c r="A292" s="16" t="s">
        <v>406</v>
      </c>
      <c r="B292" s="93" t="s">
        <v>499</v>
      </c>
      <c r="C292" s="37">
        <f>+C102</f>
        <v>0</v>
      </c>
      <c r="D292" s="38">
        <f>+D102</f>
        <v>0</v>
      </c>
      <c r="E292" s="39">
        <f>+E102</f>
        <v>0</v>
      </c>
      <c r="F292" s="39">
        <f>+F102</f>
        <v>0</v>
      </c>
      <c r="G292" s="40">
        <f>+G102</f>
        <v>0</v>
      </c>
      <c r="H292" s="22">
        <f t="shared" si="95"/>
        <v>0</v>
      </c>
      <c r="I292" s="38">
        <f>+I102</f>
        <v>0</v>
      </c>
      <c r="J292" s="39">
        <f>+J102</f>
        <v>0</v>
      </c>
      <c r="K292" s="39">
        <f>+K102</f>
        <v>0</v>
      </c>
      <c r="L292" s="40">
        <f>+L102</f>
        <v>0</v>
      </c>
      <c r="M292" s="22">
        <f t="shared" si="109"/>
        <v>0</v>
      </c>
      <c r="N292" s="38">
        <f>+N102</f>
        <v>0</v>
      </c>
      <c r="O292" s="39">
        <f>+O102</f>
        <v>3</v>
      </c>
      <c r="P292" s="39">
        <f>+P102</f>
        <v>3</v>
      </c>
      <c r="Q292" s="40">
        <f>+Q102</f>
        <v>8.3000000000000007</v>
      </c>
      <c r="R292" s="22">
        <f t="shared" si="111"/>
        <v>14.3</v>
      </c>
      <c r="S292" s="22">
        <f t="shared" si="74"/>
        <v>14.3</v>
      </c>
    </row>
    <row r="293" spans="1:19" ht="27.75" customHeight="1" x14ac:dyDescent="0.25">
      <c r="A293" s="16" t="s">
        <v>407</v>
      </c>
      <c r="B293" s="60" t="s">
        <v>154</v>
      </c>
      <c r="C293" s="37">
        <f t="shared" ref="C293:G295" si="115">+C104</f>
        <v>0</v>
      </c>
      <c r="D293" s="38">
        <f t="shared" si="115"/>
        <v>0</v>
      </c>
      <c r="E293" s="39">
        <f t="shared" si="115"/>
        <v>0</v>
      </c>
      <c r="F293" s="39">
        <f t="shared" si="115"/>
        <v>0</v>
      </c>
      <c r="G293" s="40">
        <f t="shared" si="115"/>
        <v>0</v>
      </c>
      <c r="H293" s="22">
        <f t="shared" si="95"/>
        <v>0</v>
      </c>
      <c r="I293" s="38">
        <f t="shared" ref="I293:L295" si="116">+I104</f>
        <v>0</v>
      </c>
      <c r="J293" s="39">
        <f t="shared" si="116"/>
        <v>0</v>
      </c>
      <c r="K293" s="39">
        <f t="shared" si="116"/>
        <v>0</v>
      </c>
      <c r="L293" s="40">
        <f t="shared" si="116"/>
        <v>0</v>
      </c>
      <c r="M293" s="22">
        <f t="shared" si="109"/>
        <v>0</v>
      </c>
      <c r="N293" s="38">
        <f t="shared" ref="N293:Q295" si="117">+N104</f>
        <v>2</v>
      </c>
      <c r="O293" s="39">
        <f t="shared" si="117"/>
        <v>2.5</v>
      </c>
      <c r="P293" s="39">
        <f t="shared" si="117"/>
        <v>2.5</v>
      </c>
      <c r="Q293" s="40">
        <f t="shared" si="117"/>
        <v>4.9000000000000004</v>
      </c>
      <c r="R293" s="22">
        <f t="shared" si="111"/>
        <v>11.9</v>
      </c>
      <c r="S293" s="22">
        <f t="shared" si="74"/>
        <v>11.9</v>
      </c>
    </row>
    <row r="294" spans="1:19" ht="27" customHeight="1" x14ac:dyDescent="0.25">
      <c r="A294" s="16" t="s">
        <v>408</v>
      </c>
      <c r="B294" s="60" t="s">
        <v>156</v>
      </c>
      <c r="C294" s="37">
        <f t="shared" si="115"/>
        <v>0</v>
      </c>
      <c r="D294" s="38">
        <f t="shared" si="115"/>
        <v>0</v>
      </c>
      <c r="E294" s="39">
        <f t="shared" si="115"/>
        <v>0</v>
      </c>
      <c r="F294" s="39">
        <f t="shared" si="115"/>
        <v>0</v>
      </c>
      <c r="G294" s="40">
        <f t="shared" si="115"/>
        <v>0</v>
      </c>
      <c r="H294" s="43">
        <f t="shared" si="95"/>
        <v>0</v>
      </c>
      <c r="I294" s="38">
        <f t="shared" si="116"/>
        <v>0</v>
      </c>
      <c r="J294" s="39">
        <f t="shared" si="116"/>
        <v>0</v>
      </c>
      <c r="K294" s="39">
        <f t="shared" si="116"/>
        <v>0</v>
      </c>
      <c r="L294" s="40">
        <f t="shared" si="116"/>
        <v>0</v>
      </c>
      <c r="M294" s="22">
        <f t="shared" si="109"/>
        <v>0</v>
      </c>
      <c r="N294" s="38">
        <f t="shared" si="117"/>
        <v>0</v>
      </c>
      <c r="O294" s="39">
        <f t="shared" si="117"/>
        <v>0</v>
      </c>
      <c r="P294" s="39">
        <f t="shared" si="117"/>
        <v>0</v>
      </c>
      <c r="Q294" s="40">
        <f t="shared" si="117"/>
        <v>3.5</v>
      </c>
      <c r="R294" s="22">
        <f t="shared" si="111"/>
        <v>3.5</v>
      </c>
      <c r="S294" s="22">
        <f t="shared" si="74"/>
        <v>3.5</v>
      </c>
    </row>
    <row r="295" spans="1:19" ht="28.5" customHeight="1" x14ac:dyDescent="0.25">
      <c r="A295" s="16" t="s">
        <v>409</v>
      </c>
      <c r="B295" s="60" t="s">
        <v>526</v>
      </c>
      <c r="C295" s="37">
        <f t="shared" si="115"/>
        <v>0</v>
      </c>
      <c r="D295" s="38">
        <f t="shared" si="115"/>
        <v>0</v>
      </c>
      <c r="E295" s="39">
        <f t="shared" si="115"/>
        <v>0</v>
      </c>
      <c r="F295" s="39">
        <f t="shared" si="115"/>
        <v>0</v>
      </c>
      <c r="G295" s="40">
        <f t="shared" si="115"/>
        <v>0</v>
      </c>
      <c r="H295" s="43">
        <f t="shared" si="95"/>
        <v>0</v>
      </c>
      <c r="I295" s="38">
        <f t="shared" si="116"/>
        <v>0</v>
      </c>
      <c r="J295" s="39">
        <f t="shared" si="116"/>
        <v>0</v>
      </c>
      <c r="K295" s="39">
        <f t="shared" si="116"/>
        <v>0</v>
      </c>
      <c r="L295" s="40">
        <f t="shared" si="116"/>
        <v>0</v>
      </c>
      <c r="M295" s="22">
        <f t="shared" si="109"/>
        <v>0</v>
      </c>
      <c r="N295" s="38">
        <f t="shared" si="117"/>
        <v>0</v>
      </c>
      <c r="O295" s="39">
        <f t="shared" si="117"/>
        <v>0</v>
      </c>
      <c r="P295" s="39">
        <f t="shared" si="117"/>
        <v>12</v>
      </c>
      <c r="Q295" s="40">
        <f t="shared" si="117"/>
        <v>30.05</v>
      </c>
      <c r="R295" s="22">
        <f t="shared" si="111"/>
        <v>42.05</v>
      </c>
      <c r="S295" s="22">
        <f t="shared" si="74"/>
        <v>42.05</v>
      </c>
    </row>
    <row r="296" spans="1:19" ht="15" customHeight="1" x14ac:dyDescent="0.25">
      <c r="A296" s="16" t="s">
        <v>410</v>
      </c>
      <c r="B296" s="93" t="s">
        <v>138</v>
      </c>
      <c r="C296" s="37">
        <f>+C94</f>
        <v>0</v>
      </c>
      <c r="D296" s="38">
        <f>+D94</f>
        <v>0</v>
      </c>
      <c r="E296" s="39">
        <f>+E94</f>
        <v>0</v>
      </c>
      <c r="F296" s="39">
        <f>+F94</f>
        <v>0</v>
      </c>
      <c r="G296" s="40">
        <f>+G94</f>
        <v>0</v>
      </c>
      <c r="H296" s="22">
        <f t="shared" si="95"/>
        <v>0</v>
      </c>
      <c r="I296" s="38">
        <f>+I94</f>
        <v>0</v>
      </c>
      <c r="J296" s="39">
        <f>+J94</f>
        <v>0</v>
      </c>
      <c r="K296" s="39">
        <f>+K94</f>
        <v>0</v>
      </c>
      <c r="L296" s="40">
        <f>+L94</f>
        <v>0</v>
      </c>
      <c r="M296" s="22">
        <f t="shared" si="109"/>
        <v>0</v>
      </c>
      <c r="N296" s="38">
        <f>+N94</f>
        <v>5</v>
      </c>
      <c r="O296" s="39">
        <f>+O94</f>
        <v>5</v>
      </c>
      <c r="P296" s="39">
        <f>+P94</f>
        <v>5</v>
      </c>
      <c r="Q296" s="40">
        <f>+Q94</f>
        <v>21.7</v>
      </c>
      <c r="R296" s="22">
        <f t="shared" si="111"/>
        <v>36.700000000000003</v>
      </c>
      <c r="S296" s="22">
        <f t="shared" si="74"/>
        <v>36.700000000000003</v>
      </c>
    </row>
    <row r="297" spans="1:19" ht="15" customHeight="1" x14ac:dyDescent="0.25">
      <c r="A297" s="16" t="s">
        <v>411</v>
      </c>
      <c r="B297" s="93" t="s">
        <v>152</v>
      </c>
      <c r="C297" s="37">
        <f>+C103</f>
        <v>0</v>
      </c>
      <c r="D297" s="38">
        <f>+D103</f>
        <v>0</v>
      </c>
      <c r="E297" s="39">
        <f>+E103</f>
        <v>0</v>
      </c>
      <c r="F297" s="39">
        <f>+F103</f>
        <v>0</v>
      </c>
      <c r="G297" s="40">
        <f>+G103</f>
        <v>0</v>
      </c>
      <c r="H297" s="22">
        <f t="shared" si="95"/>
        <v>0</v>
      </c>
      <c r="I297" s="38">
        <f>+I103</f>
        <v>0</v>
      </c>
      <c r="J297" s="39">
        <f>+J103</f>
        <v>0</v>
      </c>
      <c r="K297" s="39">
        <f>+K103</f>
        <v>0</v>
      </c>
      <c r="L297" s="40">
        <f>+L103</f>
        <v>0</v>
      </c>
      <c r="M297" s="22">
        <f t="shared" si="109"/>
        <v>0</v>
      </c>
      <c r="N297" s="38">
        <f>+N103</f>
        <v>0</v>
      </c>
      <c r="O297" s="39">
        <f>+O103</f>
        <v>0</v>
      </c>
      <c r="P297" s="39">
        <f>+P103</f>
        <v>2</v>
      </c>
      <c r="Q297" s="40">
        <f>+Q103</f>
        <v>8.1</v>
      </c>
      <c r="R297" s="22">
        <f t="shared" si="111"/>
        <v>10.1</v>
      </c>
      <c r="S297" s="22">
        <f t="shared" si="74"/>
        <v>10.1</v>
      </c>
    </row>
    <row r="298" spans="1:19" ht="24.75" customHeight="1" x14ac:dyDescent="0.25">
      <c r="A298" s="16" t="s">
        <v>412</v>
      </c>
      <c r="B298" s="60" t="s">
        <v>215</v>
      </c>
      <c r="C298" s="37">
        <f t="shared" ref="C298:G302" si="118">+C143</f>
        <v>0</v>
      </c>
      <c r="D298" s="38">
        <f t="shared" si="118"/>
        <v>0</v>
      </c>
      <c r="E298" s="39">
        <f t="shared" si="118"/>
        <v>0</v>
      </c>
      <c r="F298" s="39">
        <f t="shared" si="118"/>
        <v>0</v>
      </c>
      <c r="G298" s="40">
        <f t="shared" si="118"/>
        <v>0</v>
      </c>
      <c r="H298" s="22">
        <f t="shared" si="95"/>
        <v>0</v>
      </c>
      <c r="I298" s="38">
        <f t="shared" ref="I298:L302" si="119">+I143</f>
        <v>0</v>
      </c>
      <c r="J298" s="39">
        <f t="shared" si="119"/>
        <v>0</v>
      </c>
      <c r="K298" s="39">
        <f t="shared" si="119"/>
        <v>5</v>
      </c>
      <c r="L298" s="40">
        <f t="shared" si="119"/>
        <v>5.53</v>
      </c>
      <c r="M298" s="22">
        <f t="shared" si="109"/>
        <v>10.530000000000001</v>
      </c>
      <c r="N298" s="38">
        <f t="shared" ref="N298:Q302" si="120">+N143</f>
        <v>0</v>
      </c>
      <c r="O298" s="39">
        <f t="shared" si="120"/>
        <v>0</v>
      </c>
      <c r="P298" s="39">
        <f t="shared" si="120"/>
        <v>0</v>
      </c>
      <c r="Q298" s="40">
        <f t="shared" si="120"/>
        <v>0</v>
      </c>
      <c r="R298" s="22">
        <f t="shared" si="111"/>
        <v>0</v>
      </c>
      <c r="S298" s="22">
        <f t="shared" si="74"/>
        <v>10.530000000000001</v>
      </c>
    </row>
    <row r="299" spans="1:19" ht="15" customHeight="1" x14ac:dyDescent="0.25">
      <c r="A299" s="16" t="s">
        <v>413</v>
      </c>
      <c r="B299" s="93" t="s">
        <v>217</v>
      </c>
      <c r="C299" s="37">
        <f t="shared" si="118"/>
        <v>0</v>
      </c>
      <c r="D299" s="38">
        <f t="shared" si="118"/>
        <v>0</v>
      </c>
      <c r="E299" s="39">
        <f t="shared" si="118"/>
        <v>0</v>
      </c>
      <c r="F299" s="39">
        <f t="shared" si="118"/>
        <v>0</v>
      </c>
      <c r="G299" s="40">
        <f t="shared" si="118"/>
        <v>0</v>
      </c>
      <c r="H299" s="22">
        <f t="shared" si="95"/>
        <v>0</v>
      </c>
      <c r="I299" s="38">
        <f t="shared" si="119"/>
        <v>0</v>
      </c>
      <c r="J299" s="39">
        <f t="shared" si="119"/>
        <v>0</v>
      </c>
      <c r="K299" s="39">
        <f t="shared" si="119"/>
        <v>0</v>
      </c>
      <c r="L299" s="40">
        <f t="shared" si="119"/>
        <v>0</v>
      </c>
      <c r="M299" s="22">
        <f t="shared" si="109"/>
        <v>0</v>
      </c>
      <c r="N299" s="38">
        <f t="shared" si="120"/>
        <v>0</v>
      </c>
      <c r="O299" s="39">
        <f t="shared" si="120"/>
        <v>0</v>
      </c>
      <c r="P299" s="39">
        <f t="shared" si="120"/>
        <v>100</v>
      </c>
      <c r="Q299" s="40">
        <f t="shared" si="120"/>
        <v>118.37</v>
      </c>
      <c r="R299" s="22">
        <f t="shared" si="111"/>
        <v>218.37</v>
      </c>
      <c r="S299" s="22">
        <f t="shared" si="74"/>
        <v>218.37</v>
      </c>
    </row>
    <row r="300" spans="1:19" ht="15" customHeight="1" x14ac:dyDescent="0.25">
      <c r="A300" s="16" t="s">
        <v>414</v>
      </c>
      <c r="B300" s="93" t="s">
        <v>219</v>
      </c>
      <c r="C300" s="37">
        <f t="shared" si="118"/>
        <v>0</v>
      </c>
      <c r="D300" s="38">
        <f t="shared" si="118"/>
        <v>0</v>
      </c>
      <c r="E300" s="39">
        <f t="shared" si="118"/>
        <v>0</v>
      </c>
      <c r="F300" s="39">
        <f t="shared" si="118"/>
        <v>0</v>
      </c>
      <c r="G300" s="40">
        <f t="shared" si="118"/>
        <v>0</v>
      </c>
      <c r="H300" s="22">
        <f t="shared" ref="H300:H301" si="121">SUM(D300:G300)</f>
        <v>0</v>
      </c>
      <c r="I300" s="38">
        <f t="shared" si="119"/>
        <v>0</v>
      </c>
      <c r="J300" s="39">
        <f t="shared" si="119"/>
        <v>0</v>
      </c>
      <c r="K300" s="39">
        <f t="shared" si="119"/>
        <v>0</v>
      </c>
      <c r="L300" s="40">
        <f t="shared" si="119"/>
        <v>0</v>
      </c>
      <c r="M300" s="22">
        <f t="shared" si="109"/>
        <v>0</v>
      </c>
      <c r="N300" s="38">
        <f t="shared" si="120"/>
        <v>0</v>
      </c>
      <c r="O300" s="39">
        <f t="shared" si="120"/>
        <v>7</v>
      </c>
      <c r="P300" s="39">
        <f t="shared" si="120"/>
        <v>10.3</v>
      </c>
      <c r="Q300" s="40">
        <f t="shared" si="120"/>
        <v>0</v>
      </c>
      <c r="R300" s="22">
        <f t="shared" si="111"/>
        <v>17.3</v>
      </c>
      <c r="S300" s="22">
        <f t="shared" si="74"/>
        <v>17.3</v>
      </c>
    </row>
    <row r="301" spans="1:19" ht="22.5" customHeight="1" x14ac:dyDescent="0.25">
      <c r="A301" s="16" t="s">
        <v>415</v>
      </c>
      <c r="B301" s="60" t="s">
        <v>503</v>
      </c>
      <c r="C301" s="37">
        <f t="shared" si="118"/>
        <v>0</v>
      </c>
      <c r="D301" s="38">
        <f t="shared" si="118"/>
        <v>0</v>
      </c>
      <c r="E301" s="39">
        <f t="shared" si="118"/>
        <v>0</v>
      </c>
      <c r="F301" s="39">
        <f t="shared" si="118"/>
        <v>0</v>
      </c>
      <c r="G301" s="40">
        <f t="shared" si="118"/>
        <v>0</v>
      </c>
      <c r="H301" s="22">
        <f t="shared" si="121"/>
        <v>0</v>
      </c>
      <c r="I301" s="38">
        <f t="shared" si="119"/>
        <v>0</v>
      </c>
      <c r="J301" s="39">
        <f t="shared" si="119"/>
        <v>0</v>
      </c>
      <c r="K301" s="39">
        <f t="shared" si="119"/>
        <v>0</v>
      </c>
      <c r="L301" s="40">
        <f t="shared" si="119"/>
        <v>0</v>
      </c>
      <c r="M301" s="22">
        <f t="shared" si="109"/>
        <v>0</v>
      </c>
      <c r="N301" s="38">
        <f t="shared" si="120"/>
        <v>2</v>
      </c>
      <c r="O301" s="39">
        <f t="shared" si="120"/>
        <v>2</v>
      </c>
      <c r="P301" s="39">
        <f t="shared" si="120"/>
        <v>2</v>
      </c>
      <c r="Q301" s="40">
        <f t="shared" si="120"/>
        <v>2.1</v>
      </c>
      <c r="R301" s="22">
        <f t="shared" si="111"/>
        <v>8.1</v>
      </c>
      <c r="S301" s="22">
        <f t="shared" si="74"/>
        <v>8.1</v>
      </c>
    </row>
    <row r="302" spans="1:19" ht="15" customHeight="1" x14ac:dyDescent="0.25">
      <c r="A302" s="16" t="s">
        <v>416</v>
      </c>
      <c r="B302" s="93" t="s">
        <v>504</v>
      </c>
      <c r="C302" s="37">
        <f t="shared" si="118"/>
        <v>0</v>
      </c>
      <c r="D302" s="38">
        <f t="shared" si="118"/>
        <v>0</v>
      </c>
      <c r="E302" s="39">
        <f t="shared" si="118"/>
        <v>0</v>
      </c>
      <c r="F302" s="39">
        <f t="shared" si="118"/>
        <v>0</v>
      </c>
      <c r="G302" s="40">
        <f t="shared" si="118"/>
        <v>0</v>
      </c>
      <c r="H302" s="43">
        <f>+SUM(D302:G302)</f>
        <v>0</v>
      </c>
      <c r="I302" s="38">
        <f t="shared" si="119"/>
        <v>0</v>
      </c>
      <c r="J302" s="39">
        <f t="shared" si="119"/>
        <v>0</v>
      </c>
      <c r="K302" s="39">
        <f t="shared" si="119"/>
        <v>0</v>
      </c>
      <c r="L302" s="40">
        <f t="shared" si="119"/>
        <v>0</v>
      </c>
      <c r="M302" s="22">
        <f>+SUM(I302:L302)</f>
        <v>0</v>
      </c>
      <c r="N302" s="38">
        <f t="shared" si="120"/>
        <v>0</v>
      </c>
      <c r="O302" s="39">
        <f t="shared" si="120"/>
        <v>0</v>
      </c>
      <c r="P302" s="39">
        <f t="shared" si="120"/>
        <v>0</v>
      </c>
      <c r="Q302" s="40">
        <f t="shared" si="120"/>
        <v>4.2</v>
      </c>
      <c r="R302" s="22">
        <f t="shared" si="111"/>
        <v>4.2</v>
      </c>
      <c r="S302" s="22">
        <f t="shared" si="74"/>
        <v>4.2</v>
      </c>
    </row>
    <row r="303" spans="1:19" ht="15" customHeight="1" x14ac:dyDescent="0.25">
      <c r="A303" s="16" t="s">
        <v>417</v>
      </c>
      <c r="B303" s="93" t="s">
        <v>507</v>
      </c>
      <c r="C303" s="37">
        <f>+C151</f>
        <v>0</v>
      </c>
      <c r="D303" s="38">
        <f>+D151</f>
        <v>0</v>
      </c>
      <c r="E303" s="39">
        <f>+E151</f>
        <v>0</v>
      </c>
      <c r="F303" s="39">
        <f>+F151</f>
        <v>0</v>
      </c>
      <c r="G303" s="40">
        <f>+G151</f>
        <v>0</v>
      </c>
      <c r="H303" s="43">
        <f t="shared" ref="H303:H308" si="122">SUM(D303:G303)</f>
        <v>0</v>
      </c>
      <c r="I303" s="38">
        <f>+I151</f>
        <v>0</v>
      </c>
      <c r="J303" s="39">
        <f>+J151</f>
        <v>0</v>
      </c>
      <c r="K303" s="39">
        <f>+K151</f>
        <v>0</v>
      </c>
      <c r="L303" s="40">
        <f>+L151</f>
        <v>0</v>
      </c>
      <c r="M303" s="22">
        <f t="shared" ref="M303:M308" si="123">SUM(I303:L303)</f>
        <v>0</v>
      </c>
      <c r="N303" s="38">
        <f>+N151</f>
        <v>0</v>
      </c>
      <c r="O303" s="39">
        <f>+O151</f>
        <v>10</v>
      </c>
      <c r="P303" s="39">
        <f>+P151</f>
        <v>10</v>
      </c>
      <c r="Q303" s="40">
        <f>+Q151</f>
        <v>24.1</v>
      </c>
      <c r="R303" s="22">
        <f t="shared" si="111"/>
        <v>44.1</v>
      </c>
      <c r="S303" s="22">
        <f t="shared" si="74"/>
        <v>44.1</v>
      </c>
    </row>
    <row r="304" spans="1:19" ht="15" customHeight="1" x14ac:dyDescent="0.25">
      <c r="A304" s="16" t="s">
        <v>418</v>
      </c>
      <c r="B304" s="60" t="s">
        <v>505</v>
      </c>
      <c r="C304" s="37">
        <f t="shared" ref="C304:G306" si="124">+C148</f>
        <v>0</v>
      </c>
      <c r="D304" s="38">
        <f t="shared" si="124"/>
        <v>0</v>
      </c>
      <c r="E304" s="39">
        <f t="shared" si="124"/>
        <v>0</v>
      </c>
      <c r="F304" s="39">
        <f t="shared" si="124"/>
        <v>0</v>
      </c>
      <c r="G304" s="40">
        <f t="shared" si="124"/>
        <v>0</v>
      </c>
      <c r="H304" s="43">
        <f t="shared" si="122"/>
        <v>0</v>
      </c>
      <c r="I304" s="38">
        <f>+I148</f>
        <v>0</v>
      </c>
      <c r="J304" s="39">
        <f>+J148</f>
        <v>0</v>
      </c>
      <c r="K304" s="39">
        <f>+K148</f>
        <v>0</v>
      </c>
      <c r="L304" s="40">
        <f>+L148</f>
        <v>0</v>
      </c>
      <c r="M304" s="22">
        <f t="shared" si="123"/>
        <v>0</v>
      </c>
      <c r="N304" s="38">
        <f t="shared" ref="N304:Q306" si="125">+N148</f>
        <v>0</v>
      </c>
      <c r="O304" s="39">
        <f t="shared" si="125"/>
        <v>5</v>
      </c>
      <c r="P304" s="39">
        <f t="shared" si="125"/>
        <v>10</v>
      </c>
      <c r="Q304" s="40">
        <f t="shared" si="125"/>
        <v>7.9</v>
      </c>
      <c r="R304" s="22">
        <f t="shared" si="111"/>
        <v>22.9</v>
      </c>
      <c r="S304" s="22">
        <f t="shared" si="74"/>
        <v>22.9</v>
      </c>
    </row>
    <row r="305" spans="1:19" ht="15" customHeight="1" x14ac:dyDescent="0.25">
      <c r="A305" s="16" t="s">
        <v>419</v>
      </c>
      <c r="B305" s="93" t="s">
        <v>224</v>
      </c>
      <c r="C305" s="37">
        <f t="shared" si="124"/>
        <v>0</v>
      </c>
      <c r="D305" s="38">
        <f t="shared" si="124"/>
        <v>0</v>
      </c>
      <c r="E305" s="39">
        <f t="shared" si="124"/>
        <v>0</v>
      </c>
      <c r="F305" s="39">
        <f t="shared" si="124"/>
        <v>0</v>
      </c>
      <c r="G305" s="40">
        <f t="shared" si="124"/>
        <v>0</v>
      </c>
      <c r="H305" s="22">
        <f t="shared" si="122"/>
        <v>0</v>
      </c>
      <c r="I305" s="38">
        <f t="shared" ref="I305:K306" si="126">+I149</f>
        <v>0</v>
      </c>
      <c r="J305" s="39">
        <f t="shared" si="126"/>
        <v>0</v>
      </c>
      <c r="K305" s="39">
        <f t="shared" si="126"/>
        <v>0</v>
      </c>
      <c r="L305" s="40">
        <f>+L266</f>
        <v>0</v>
      </c>
      <c r="M305" s="22">
        <f t="shared" si="123"/>
        <v>0</v>
      </c>
      <c r="N305" s="38">
        <f t="shared" si="125"/>
        <v>0</v>
      </c>
      <c r="O305" s="39">
        <f t="shared" si="125"/>
        <v>0</v>
      </c>
      <c r="P305" s="39">
        <f t="shared" si="125"/>
        <v>0</v>
      </c>
      <c r="Q305" s="40">
        <f t="shared" si="125"/>
        <v>6.75</v>
      </c>
      <c r="R305" s="22">
        <f t="shared" si="111"/>
        <v>6.75</v>
      </c>
      <c r="S305" s="22">
        <f t="shared" si="74"/>
        <v>6.75</v>
      </c>
    </row>
    <row r="306" spans="1:19" ht="15" customHeight="1" x14ac:dyDescent="0.25">
      <c r="A306" s="16" t="s">
        <v>420</v>
      </c>
      <c r="B306" s="93" t="s">
        <v>506</v>
      </c>
      <c r="C306" s="37">
        <f t="shared" si="124"/>
        <v>0</v>
      </c>
      <c r="D306" s="38">
        <f t="shared" si="124"/>
        <v>0</v>
      </c>
      <c r="E306" s="39">
        <f t="shared" si="124"/>
        <v>0</v>
      </c>
      <c r="F306" s="39">
        <f t="shared" si="124"/>
        <v>0</v>
      </c>
      <c r="G306" s="40">
        <f t="shared" si="124"/>
        <v>0</v>
      </c>
      <c r="H306" s="22">
        <f t="shared" si="122"/>
        <v>0</v>
      </c>
      <c r="I306" s="38">
        <f t="shared" si="126"/>
        <v>0</v>
      </c>
      <c r="J306" s="39">
        <f t="shared" si="126"/>
        <v>0</v>
      </c>
      <c r="K306" s="39">
        <f t="shared" si="126"/>
        <v>0</v>
      </c>
      <c r="L306" s="40">
        <f>+L150</f>
        <v>0</v>
      </c>
      <c r="M306" s="22">
        <f t="shared" si="123"/>
        <v>0</v>
      </c>
      <c r="N306" s="38">
        <f t="shared" si="125"/>
        <v>0</v>
      </c>
      <c r="O306" s="39">
        <f t="shared" si="125"/>
        <v>0</v>
      </c>
      <c r="P306" s="39">
        <f t="shared" si="125"/>
        <v>2</v>
      </c>
      <c r="Q306" s="40">
        <f t="shared" si="125"/>
        <v>7</v>
      </c>
      <c r="R306" s="22">
        <f t="shared" si="111"/>
        <v>9</v>
      </c>
      <c r="S306" s="22">
        <f t="shared" si="74"/>
        <v>9</v>
      </c>
    </row>
    <row r="307" spans="1:19" ht="27" customHeight="1" x14ac:dyDescent="0.25">
      <c r="A307" s="16" t="s">
        <v>421</v>
      </c>
      <c r="B307" s="60" t="s">
        <v>228</v>
      </c>
      <c r="C307" s="37">
        <f>+C152</f>
        <v>0</v>
      </c>
      <c r="D307" s="38">
        <f>+D152</f>
        <v>0</v>
      </c>
      <c r="E307" s="39">
        <f>+E152</f>
        <v>0</v>
      </c>
      <c r="F307" s="39">
        <f>+F152</f>
        <v>0</v>
      </c>
      <c r="G307" s="40">
        <f>+G152</f>
        <v>0</v>
      </c>
      <c r="H307" s="43">
        <f t="shared" si="122"/>
        <v>0</v>
      </c>
      <c r="I307" s="38">
        <f>+I152</f>
        <v>0</v>
      </c>
      <c r="J307" s="39">
        <f>+J152</f>
        <v>0</v>
      </c>
      <c r="K307" s="39">
        <f>+K152</f>
        <v>0</v>
      </c>
      <c r="L307" s="40">
        <f>+L152</f>
        <v>0</v>
      </c>
      <c r="M307" s="22">
        <f t="shared" si="123"/>
        <v>0</v>
      </c>
      <c r="N307" s="38">
        <f>+N152</f>
        <v>1</v>
      </c>
      <c r="O307" s="39">
        <f>+O152</f>
        <v>1</v>
      </c>
      <c r="P307" s="39">
        <f>+P152</f>
        <v>2.5</v>
      </c>
      <c r="Q307" s="40">
        <f>+Q152</f>
        <v>4.71</v>
      </c>
      <c r="R307" s="22">
        <f t="shared" si="111"/>
        <v>9.2100000000000009</v>
      </c>
      <c r="S307" s="22">
        <f>+H307+M307+R307</f>
        <v>9.2100000000000009</v>
      </c>
    </row>
    <row r="308" spans="1:19" ht="27" customHeight="1" x14ac:dyDescent="0.25">
      <c r="A308" s="16" t="s">
        <v>422</v>
      </c>
      <c r="B308" s="60" t="s">
        <v>508</v>
      </c>
      <c r="C308" s="37">
        <f>+C154</f>
        <v>0</v>
      </c>
      <c r="D308" s="38">
        <f>+D154</f>
        <v>0</v>
      </c>
      <c r="E308" s="39">
        <f>+E154</f>
        <v>0</v>
      </c>
      <c r="F308" s="39">
        <f>+F154</f>
        <v>0</v>
      </c>
      <c r="G308" s="40">
        <f>+G154</f>
        <v>0</v>
      </c>
      <c r="H308" s="43">
        <f t="shared" si="122"/>
        <v>0</v>
      </c>
      <c r="I308" s="38">
        <f>+I154</f>
        <v>0</v>
      </c>
      <c r="J308" s="39">
        <f>+J154</f>
        <v>0</v>
      </c>
      <c r="K308" s="39">
        <f>+K154</f>
        <v>0</v>
      </c>
      <c r="L308" s="40">
        <f>+L154</f>
        <v>0</v>
      </c>
      <c r="M308" s="22">
        <f t="shared" si="123"/>
        <v>0</v>
      </c>
      <c r="N308" s="38">
        <f>+N154</f>
        <v>2</v>
      </c>
      <c r="O308" s="39">
        <f>+O154</f>
        <v>2</v>
      </c>
      <c r="P308" s="39">
        <f>+P154</f>
        <v>5</v>
      </c>
      <c r="Q308" s="40">
        <f>+Q154</f>
        <v>8.1</v>
      </c>
      <c r="R308" s="22">
        <f t="shared" si="111"/>
        <v>17.100000000000001</v>
      </c>
      <c r="S308" s="22">
        <f>+H308+M308+R308</f>
        <v>17.100000000000001</v>
      </c>
    </row>
    <row r="309" spans="1:19" ht="15" customHeight="1" x14ac:dyDescent="0.25">
      <c r="A309" s="16" t="s">
        <v>423</v>
      </c>
      <c r="B309" s="93" t="s">
        <v>230</v>
      </c>
      <c r="C309" s="37">
        <f>+C153</f>
        <v>0</v>
      </c>
      <c r="D309" s="38">
        <f>+D153</f>
        <v>0</v>
      </c>
      <c r="E309" s="39">
        <f>+E153</f>
        <v>0</v>
      </c>
      <c r="F309" s="39">
        <f>+F153</f>
        <v>0</v>
      </c>
      <c r="G309" s="40">
        <f>+G153</f>
        <v>0</v>
      </c>
      <c r="H309" s="22">
        <f t="shared" ref="H309:H348" si="127">SUM(D309:G309)</f>
        <v>0</v>
      </c>
      <c r="I309" s="38">
        <f>+I153</f>
        <v>0</v>
      </c>
      <c r="J309" s="39">
        <f>+J153</f>
        <v>0</v>
      </c>
      <c r="K309" s="39">
        <f>+K153</f>
        <v>0</v>
      </c>
      <c r="L309" s="40">
        <f>+L153</f>
        <v>0</v>
      </c>
      <c r="M309" s="22">
        <f t="shared" ref="M309:M351" si="128">SUM(I309:L309)</f>
        <v>0</v>
      </c>
      <c r="N309" s="38">
        <f>+N153</f>
        <v>5</v>
      </c>
      <c r="O309" s="39">
        <f>+O153</f>
        <v>6.3</v>
      </c>
      <c r="P309" s="39">
        <f>+P153</f>
        <v>0</v>
      </c>
      <c r="Q309" s="40">
        <f>+Q153</f>
        <v>0</v>
      </c>
      <c r="R309" s="22">
        <f t="shared" ref="R309:R351" si="129">SUM(N309:Q309)</f>
        <v>11.3</v>
      </c>
      <c r="S309" s="22">
        <f t="shared" ref="S309:S351" si="130">+H309+M309+R309</f>
        <v>11.3</v>
      </c>
    </row>
    <row r="310" spans="1:19" ht="15" customHeight="1" x14ac:dyDescent="0.25">
      <c r="A310" s="16" t="s">
        <v>424</v>
      </c>
      <c r="B310" s="93" t="s">
        <v>527</v>
      </c>
      <c r="C310" s="37">
        <f>+C155</f>
        <v>0</v>
      </c>
      <c r="D310" s="38">
        <f>+D155</f>
        <v>0</v>
      </c>
      <c r="E310" s="39">
        <f>+E155</f>
        <v>0</v>
      </c>
      <c r="F310" s="39">
        <f>+F155</f>
        <v>0</v>
      </c>
      <c r="G310" s="40">
        <f>+G155</f>
        <v>0</v>
      </c>
      <c r="H310" s="43">
        <f t="shared" ref="H310" si="131">SUM(D310:G310)</f>
        <v>0</v>
      </c>
      <c r="I310" s="38">
        <f>+I155</f>
        <v>0</v>
      </c>
      <c r="J310" s="39">
        <f>+J155</f>
        <v>0</v>
      </c>
      <c r="K310" s="39">
        <f>+K155</f>
        <v>0</v>
      </c>
      <c r="L310" s="40">
        <f>+L155</f>
        <v>0</v>
      </c>
      <c r="M310" s="22">
        <f t="shared" ref="M310" si="132">SUM(I310:L310)</f>
        <v>0</v>
      </c>
      <c r="N310" s="38">
        <f>+N155</f>
        <v>0</v>
      </c>
      <c r="O310" s="39">
        <f>+O155</f>
        <v>5.84</v>
      </c>
      <c r="P310" s="39">
        <f>+P155</f>
        <v>3</v>
      </c>
      <c r="Q310" s="40">
        <f>+Q155</f>
        <v>0</v>
      </c>
      <c r="R310" s="22">
        <f t="shared" ref="R310" si="133">SUM(N310:Q310)</f>
        <v>8.84</v>
      </c>
      <c r="S310" s="22">
        <f t="shared" si="130"/>
        <v>8.84</v>
      </c>
    </row>
    <row r="311" spans="1:19" ht="22.5" customHeight="1" x14ac:dyDescent="0.25">
      <c r="A311" s="61"/>
      <c r="B311" s="35" t="s">
        <v>425</v>
      </c>
      <c r="C311" s="37">
        <f>SUM(C312:C319)</f>
        <v>54.049499999999995</v>
      </c>
      <c r="D311" s="38">
        <f>SUM(D312:D319)</f>
        <v>0</v>
      </c>
      <c r="E311" s="39">
        <f>SUM(E312:E319)</f>
        <v>0</v>
      </c>
      <c r="F311" s="39">
        <f>SUM(F312:F319)</f>
        <v>20.74</v>
      </c>
      <c r="G311" s="40">
        <f>SUM(G312:G319)</f>
        <v>36.159999999999997</v>
      </c>
      <c r="H311" s="22">
        <f t="shared" si="127"/>
        <v>56.899999999999991</v>
      </c>
      <c r="I311" s="38">
        <f>SUM(I312:I319)</f>
        <v>0</v>
      </c>
      <c r="J311" s="39">
        <f>SUM(J312:J319)</f>
        <v>10</v>
      </c>
      <c r="K311" s="39">
        <f>SUM(K312:K319)</f>
        <v>10</v>
      </c>
      <c r="L311" s="40">
        <f>SUM(L312:L319)</f>
        <v>30</v>
      </c>
      <c r="M311" s="22">
        <f t="shared" si="128"/>
        <v>50</v>
      </c>
      <c r="N311" s="38">
        <f>SUM(N312:N319)</f>
        <v>21</v>
      </c>
      <c r="O311" s="39">
        <f>SUM(O312:O319)</f>
        <v>51</v>
      </c>
      <c r="P311" s="39">
        <f>SUM(P312:P319)</f>
        <v>51</v>
      </c>
      <c r="Q311" s="40">
        <f>SUM(Q312:Q319)</f>
        <v>51.9</v>
      </c>
      <c r="R311" s="22">
        <f t="shared" si="129"/>
        <v>174.9</v>
      </c>
      <c r="S311" s="22">
        <f t="shared" si="130"/>
        <v>281.8</v>
      </c>
    </row>
    <row r="312" spans="1:19" ht="27" customHeight="1" x14ac:dyDescent="0.25">
      <c r="A312" s="16" t="s">
        <v>426</v>
      </c>
      <c r="B312" s="69" t="s">
        <v>236</v>
      </c>
      <c r="C312" s="37">
        <f t="shared" ref="C312:G314" si="134">+C158</f>
        <v>4.3150000000000004</v>
      </c>
      <c r="D312" s="38">
        <f t="shared" si="134"/>
        <v>0</v>
      </c>
      <c r="E312" s="39">
        <f t="shared" si="134"/>
        <v>0</v>
      </c>
      <c r="F312" s="39">
        <f t="shared" si="134"/>
        <v>0</v>
      </c>
      <c r="G312" s="40">
        <f t="shared" si="134"/>
        <v>0</v>
      </c>
      <c r="H312" s="22">
        <f t="shared" si="127"/>
        <v>0</v>
      </c>
      <c r="I312" s="38">
        <f t="shared" ref="I312:L314" si="135">+I158</f>
        <v>0</v>
      </c>
      <c r="J312" s="39">
        <f t="shared" si="135"/>
        <v>0</v>
      </c>
      <c r="K312" s="39">
        <f t="shared" si="135"/>
        <v>0</v>
      </c>
      <c r="L312" s="40">
        <f t="shared" si="135"/>
        <v>0</v>
      </c>
      <c r="M312" s="22">
        <f t="shared" si="128"/>
        <v>0</v>
      </c>
      <c r="N312" s="38">
        <f t="shared" ref="N312:Q314" si="136">+N158</f>
        <v>0</v>
      </c>
      <c r="O312" s="39">
        <f t="shared" si="136"/>
        <v>0</v>
      </c>
      <c r="P312" s="39">
        <f t="shared" si="136"/>
        <v>0</v>
      </c>
      <c r="Q312" s="40">
        <f t="shared" si="136"/>
        <v>0</v>
      </c>
      <c r="R312" s="22">
        <f t="shared" si="129"/>
        <v>0</v>
      </c>
      <c r="S312" s="22">
        <f t="shared" si="130"/>
        <v>0</v>
      </c>
    </row>
    <row r="313" spans="1:19" ht="27.75" customHeight="1" x14ac:dyDescent="0.25">
      <c r="A313" s="16" t="s">
        <v>427</v>
      </c>
      <c r="B313" s="69" t="s">
        <v>428</v>
      </c>
      <c r="C313" s="37">
        <f t="shared" si="134"/>
        <v>0</v>
      </c>
      <c r="D313" s="38">
        <f t="shared" si="134"/>
        <v>0</v>
      </c>
      <c r="E313" s="39">
        <f t="shared" si="134"/>
        <v>0</v>
      </c>
      <c r="F313" s="39">
        <f t="shared" si="134"/>
        <v>0</v>
      </c>
      <c r="G313" s="40">
        <f t="shared" si="134"/>
        <v>9.5</v>
      </c>
      <c r="H313" s="22">
        <f t="shared" si="127"/>
        <v>9.5</v>
      </c>
      <c r="I313" s="38">
        <f t="shared" si="135"/>
        <v>0</v>
      </c>
      <c r="J313" s="39">
        <f t="shared" si="135"/>
        <v>0</v>
      </c>
      <c r="K313" s="39">
        <f t="shared" si="135"/>
        <v>0</v>
      </c>
      <c r="L313" s="40">
        <f t="shared" si="135"/>
        <v>0</v>
      </c>
      <c r="M313" s="22">
        <f t="shared" si="128"/>
        <v>0</v>
      </c>
      <c r="N313" s="38">
        <f t="shared" si="136"/>
        <v>0</v>
      </c>
      <c r="O313" s="39">
        <f t="shared" si="136"/>
        <v>0</v>
      </c>
      <c r="P313" s="39">
        <f t="shared" si="136"/>
        <v>0</v>
      </c>
      <c r="Q313" s="40">
        <f t="shared" si="136"/>
        <v>0</v>
      </c>
      <c r="R313" s="22">
        <f t="shared" si="129"/>
        <v>0</v>
      </c>
      <c r="S313" s="22">
        <f t="shared" si="130"/>
        <v>9.5</v>
      </c>
    </row>
    <row r="314" spans="1:19" ht="27" customHeight="1" x14ac:dyDescent="0.25">
      <c r="A314" s="16" t="s">
        <v>429</v>
      </c>
      <c r="B314" s="69" t="s">
        <v>430</v>
      </c>
      <c r="C314" s="37">
        <f t="shared" si="134"/>
        <v>0</v>
      </c>
      <c r="D314" s="38">
        <f t="shared" si="134"/>
        <v>0</v>
      </c>
      <c r="E314" s="39">
        <f t="shared" si="134"/>
        <v>0</v>
      </c>
      <c r="F314" s="39">
        <f t="shared" si="134"/>
        <v>20.74</v>
      </c>
      <c r="G314" s="40">
        <f t="shared" si="134"/>
        <v>26.66</v>
      </c>
      <c r="H314" s="22">
        <f t="shared" si="127"/>
        <v>47.4</v>
      </c>
      <c r="I314" s="38">
        <f t="shared" si="135"/>
        <v>0</v>
      </c>
      <c r="J314" s="39">
        <f t="shared" si="135"/>
        <v>0</v>
      </c>
      <c r="K314" s="39">
        <f t="shared" si="135"/>
        <v>0</v>
      </c>
      <c r="L314" s="40">
        <f t="shared" si="135"/>
        <v>0</v>
      </c>
      <c r="M314" s="22">
        <f t="shared" si="128"/>
        <v>0</v>
      </c>
      <c r="N314" s="38">
        <f t="shared" si="136"/>
        <v>0</v>
      </c>
      <c r="O314" s="39">
        <f t="shared" si="136"/>
        <v>0</v>
      </c>
      <c r="P314" s="39">
        <f t="shared" si="136"/>
        <v>0</v>
      </c>
      <c r="Q314" s="40">
        <f t="shared" si="136"/>
        <v>0</v>
      </c>
      <c r="R314" s="22">
        <f t="shared" si="129"/>
        <v>0</v>
      </c>
      <c r="S314" s="22">
        <f t="shared" si="130"/>
        <v>47.4</v>
      </c>
    </row>
    <row r="315" spans="1:19" ht="27" customHeight="1" x14ac:dyDescent="0.25">
      <c r="A315" s="16" t="s">
        <v>431</v>
      </c>
      <c r="B315" s="69" t="s">
        <v>510</v>
      </c>
      <c r="C315" s="37">
        <f>+C162</f>
        <v>0</v>
      </c>
      <c r="D315" s="38">
        <f>+D162</f>
        <v>0</v>
      </c>
      <c r="E315" s="39">
        <f>+E162</f>
        <v>0</v>
      </c>
      <c r="F315" s="39">
        <f>+F162</f>
        <v>0</v>
      </c>
      <c r="G315" s="40">
        <f>+G162</f>
        <v>0</v>
      </c>
      <c r="H315" s="22">
        <f t="shared" si="127"/>
        <v>0</v>
      </c>
      <c r="I315" s="38">
        <f>+I162</f>
        <v>0</v>
      </c>
      <c r="J315" s="39">
        <f>+J162</f>
        <v>0</v>
      </c>
      <c r="K315" s="39">
        <f>+K162</f>
        <v>0</v>
      </c>
      <c r="L315" s="40">
        <f>+L162</f>
        <v>0</v>
      </c>
      <c r="M315" s="22">
        <f t="shared" ref="M315" si="137">SUM(I315:L315)</f>
        <v>0</v>
      </c>
      <c r="N315" s="38">
        <f>+N162</f>
        <v>1</v>
      </c>
      <c r="O315" s="39">
        <f>+O162</f>
        <v>1</v>
      </c>
      <c r="P315" s="39">
        <f>+P162</f>
        <v>1</v>
      </c>
      <c r="Q315" s="40">
        <f>+Q162</f>
        <v>1.9</v>
      </c>
      <c r="R315" s="22">
        <f t="shared" ref="R315" si="138">SUM(N315:Q315)</f>
        <v>4.9000000000000004</v>
      </c>
      <c r="S315" s="22">
        <f t="shared" si="130"/>
        <v>4.9000000000000004</v>
      </c>
    </row>
    <row r="316" spans="1:19" ht="27" customHeight="1" x14ac:dyDescent="0.25">
      <c r="A316" s="16" t="s">
        <v>432</v>
      </c>
      <c r="B316" s="69" t="s">
        <v>528</v>
      </c>
      <c r="C316" s="37">
        <f>+C161</f>
        <v>0</v>
      </c>
      <c r="D316" s="38">
        <f>+D161</f>
        <v>0</v>
      </c>
      <c r="E316" s="39">
        <f>+E161</f>
        <v>0</v>
      </c>
      <c r="F316" s="39">
        <f>+F161</f>
        <v>0</v>
      </c>
      <c r="G316" s="40">
        <f>+G161</f>
        <v>0</v>
      </c>
      <c r="H316" s="22">
        <f t="shared" si="127"/>
        <v>0</v>
      </c>
      <c r="I316" s="38">
        <f>+I161</f>
        <v>0</v>
      </c>
      <c r="J316" s="39">
        <f>+J161</f>
        <v>0</v>
      </c>
      <c r="K316" s="39">
        <f>+K161</f>
        <v>0</v>
      </c>
      <c r="L316" s="40">
        <f>+L161</f>
        <v>0</v>
      </c>
      <c r="M316" s="22">
        <f t="shared" si="128"/>
        <v>0</v>
      </c>
      <c r="N316" s="38">
        <f>+N161</f>
        <v>10</v>
      </c>
      <c r="O316" s="39">
        <f>+O161</f>
        <v>20</v>
      </c>
      <c r="P316" s="39">
        <f>+P161</f>
        <v>20</v>
      </c>
      <c r="Q316" s="40">
        <f>+Q161</f>
        <v>20</v>
      </c>
      <c r="R316" s="22">
        <f t="shared" si="129"/>
        <v>70</v>
      </c>
      <c r="S316" s="22">
        <f t="shared" si="130"/>
        <v>70</v>
      </c>
    </row>
    <row r="317" spans="1:19" ht="39" customHeight="1" x14ac:dyDescent="0.25">
      <c r="A317" s="16" t="s">
        <v>433</v>
      </c>
      <c r="B317" s="69" t="s">
        <v>511</v>
      </c>
      <c r="C317" s="37">
        <f t="shared" ref="C317:G319" si="139">+C163</f>
        <v>0</v>
      </c>
      <c r="D317" s="38">
        <f t="shared" si="139"/>
        <v>0</v>
      </c>
      <c r="E317" s="39">
        <f t="shared" si="139"/>
        <v>0</v>
      </c>
      <c r="F317" s="39">
        <f t="shared" si="139"/>
        <v>0</v>
      </c>
      <c r="G317" s="40">
        <f t="shared" si="139"/>
        <v>0</v>
      </c>
      <c r="H317" s="22">
        <f t="shared" si="127"/>
        <v>0</v>
      </c>
      <c r="I317" s="38">
        <f t="shared" ref="I317:L319" si="140">+I163</f>
        <v>0</v>
      </c>
      <c r="J317" s="39">
        <f t="shared" si="140"/>
        <v>10</v>
      </c>
      <c r="K317" s="39">
        <f t="shared" si="140"/>
        <v>10</v>
      </c>
      <c r="L317" s="40">
        <f t="shared" si="140"/>
        <v>10</v>
      </c>
      <c r="M317" s="22">
        <f t="shared" si="128"/>
        <v>30</v>
      </c>
      <c r="N317" s="38">
        <f t="shared" ref="N317:Q319" si="141">+N163</f>
        <v>10</v>
      </c>
      <c r="O317" s="39">
        <f t="shared" si="141"/>
        <v>30</v>
      </c>
      <c r="P317" s="39">
        <f t="shared" si="141"/>
        <v>30</v>
      </c>
      <c r="Q317" s="40">
        <f t="shared" si="141"/>
        <v>30</v>
      </c>
      <c r="R317" s="22">
        <f t="shared" si="129"/>
        <v>100</v>
      </c>
      <c r="S317" s="22">
        <f t="shared" si="130"/>
        <v>130</v>
      </c>
    </row>
    <row r="318" spans="1:19" ht="39" customHeight="1" x14ac:dyDescent="0.25">
      <c r="A318" s="16" t="s">
        <v>434</v>
      </c>
      <c r="B318" s="69" t="s">
        <v>435</v>
      </c>
      <c r="C318" s="37">
        <f t="shared" si="139"/>
        <v>0</v>
      </c>
      <c r="D318" s="38">
        <f t="shared" si="139"/>
        <v>0</v>
      </c>
      <c r="E318" s="39">
        <f t="shared" si="139"/>
        <v>0</v>
      </c>
      <c r="F318" s="39">
        <f t="shared" si="139"/>
        <v>0</v>
      </c>
      <c r="G318" s="40">
        <f t="shared" si="139"/>
        <v>0</v>
      </c>
      <c r="H318" s="22">
        <f t="shared" si="127"/>
        <v>0</v>
      </c>
      <c r="I318" s="38">
        <f t="shared" si="140"/>
        <v>0</v>
      </c>
      <c r="J318" s="39">
        <f t="shared" si="140"/>
        <v>0</v>
      </c>
      <c r="K318" s="39">
        <f t="shared" si="140"/>
        <v>0</v>
      </c>
      <c r="L318" s="40">
        <f t="shared" si="140"/>
        <v>20</v>
      </c>
      <c r="M318" s="22">
        <f t="shared" si="128"/>
        <v>20</v>
      </c>
      <c r="N318" s="38">
        <f t="shared" si="141"/>
        <v>0</v>
      </c>
      <c r="O318" s="39">
        <f t="shared" si="141"/>
        <v>0</v>
      </c>
      <c r="P318" s="39">
        <f t="shared" si="141"/>
        <v>0</v>
      </c>
      <c r="Q318" s="40">
        <f t="shared" si="141"/>
        <v>0</v>
      </c>
      <c r="R318" s="22">
        <f t="shared" si="129"/>
        <v>0</v>
      </c>
      <c r="S318" s="22">
        <f t="shared" si="130"/>
        <v>20</v>
      </c>
    </row>
    <row r="319" spans="1:19" ht="39" customHeight="1" x14ac:dyDescent="0.25">
      <c r="A319" s="16" t="s">
        <v>436</v>
      </c>
      <c r="B319" s="69" t="s">
        <v>437</v>
      </c>
      <c r="C319" s="37">
        <f t="shared" si="139"/>
        <v>49.734499999999997</v>
      </c>
      <c r="D319" s="38">
        <f t="shared" si="139"/>
        <v>0</v>
      </c>
      <c r="E319" s="39">
        <f t="shared" si="139"/>
        <v>0</v>
      </c>
      <c r="F319" s="39">
        <f t="shared" si="139"/>
        <v>0</v>
      </c>
      <c r="G319" s="40">
        <f t="shared" si="139"/>
        <v>0</v>
      </c>
      <c r="H319" s="22">
        <f t="shared" si="127"/>
        <v>0</v>
      </c>
      <c r="I319" s="38">
        <f t="shared" si="140"/>
        <v>0</v>
      </c>
      <c r="J319" s="39">
        <f t="shared" si="140"/>
        <v>0</v>
      </c>
      <c r="K319" s="39">
        <f t="shared" si="140"/>
        <v>0</v>
      </c>
      <c r="L319" s="40">
        <f t="shared" si="140"/>
        <v>0</v>
      </c>
      <c r="M319" s="22">
        <f t="shared" si="128"/>
        <v>0</v>
      </c>
      <c r="N319" s="38">
        <f t="shared" si="141"/>
        <v>0</v>
      </c>
      <c r="O319" s="39">
        <f t="shared" si="141"/>
        <v>0</v>
      </c>
      <c r="P319" s="39">
        <f t="shared" si="141"/>
        <v>0</v>
      </c>
      <c r="Q319" s="40">
        <f t="shared" si="141"/>
        <v>0</v>
      </c>
      <c r="R319" s="22">
        <f t="shared" si="129"/>
        <v>0</v>
      </c>
      <c r="S319" s="22">
        <f t="shared" si="130"/>
        <v>0</v>
      </c>
    </row>
    <row r="320" spans="1:19" ht="24.75" customHeight="1" x14ac:dyDescent="0.25">
      <c r="A320" s="84" t="s">
        <v>438</v>
      </c>
      <c r="B320" s="58" t="s">
        <v>439</v>
      </c>
      <c r="C320" s="37">
        <f>SUM(C321:C347)</f>
        <v>225</v>
      </c>
      <c r="D320" s="38">
        <f>SUM(D321:D337)</f>
        <v>60</v>
      </c>
      <c r="E320" s="39">
        <f>SUM(E321:E337)</f>
        <v>60</v>
      </c>
      <c r="F320" s="39">
        <f>SUM(F321:F337)</f>
        <v>60</v>
      </c>
      <c r="G320" s="40">
        <f>SUM(G321:G337)</f>
        <v>60</v>
      </c>
      <c r="H320" s="22">
        <f>SUM(H321:H347)</f>
        <v>240</v>
      </c>
      <c r="I320" s="38">
        <f>SUM(I321:I347)</f>
        <v>62.5</v>
      </c>
      <c r="J320" s="39">
        <f>SUM(J321:J347)</f>
        <v>62.5</v>
      </c>
      <c r="K320" s="39">
        <f>SUM(K321:K347)</f>
        <v>62.5</v>
      </c>
      <c r="L320" s="40">
        <f>SUM(L321:L347)</f>
        <v>62.5</v>
      </c>
      <c r="M320" s="22">
        <f t="shared" si="128"/>
        <v>250</v>
      </c>
      <c r="N320" s="38">
        <f>SUM(N321:N347)</f>
        <v>64.25</v>
      </c>
      <c r="O320" s="39">
        <f>SUM(O321:O347)</f>
        <v>64.25</v>
      </c>
      <c r="P320" s="39">
        <f>SUM(P321:P347)</f>
        <v>64.25</v>
      </c>
      <c r="Q320" s="40">
        <f>SUM(Q321:Q347)</f>
        <v>64.25</v>
      </c>
      <c r="R320" s="22">
        <f t="shared" si="129"/>
        <v>257</v>
      </c>
      <c r="S320" s="22">
        <f>+H320+M320+R320</f>
        <v>747</v>
      </c>
    </row>
    <row r="321" spans="1:19" ht="15" customHeight="1" x14ac:dyDescent="0.25">
      <c r="A321" s="61" t="s">
        <v>440</v>
      </c>
      <c r="B321" s="89" t="s">
        <v>441</v>
      </c>
      <c r="C321" s="95">
        <v>30</v>
      </c>
      <c r="D321" s="96">
        <f>10000/1000</f>
        <v>10</v>
      </c>
      <c r="E321" s="39">
        <v>5</v>
      </c>
      <c r="F321" s="39">
        <v>5</v>
      </c>
      <c r="G321" s="40">
        <v>10</v>
      </c>
      <c r="H321" s="22">
        <f t="shared" si="127"/>
        <v>30</v>
      </c>
      <c r="I321" s="38">
        <v>0</v>
      </c>
      <c r="J321" s="39">
        <v>0</v>
      </c>
      <c r="K321" s="39">
        <v>0</v>
      </c>
      <c r="L321" s="40">
        <v>0</v>
      </c>
      <c r="M321" s="22">
        <f t="shared" si="128"/>
        <v>0</v>
      </c>
      <c r="N321" s="38">
        <v>0</v>
      </c>
      <c r="O321" s="39">
        <v>0</v>
      </c>
      <c r="P321" s="39">
        <v>0</v>
      </c>
      <c r="Q321" s="40">
        <v>0</v>
      </c>
      <c r="R321" s="22">
        <f t="shared" si="129"/>
        <v>0</v>
      </c>
      <c r="S321" s="22">
        <f t="shared" si="130"/>
        <v>30</v>
      </c>
    </row>
    <row r="322" spans="1:19" ht="15" customHeight="1" x14ac:dyDescent="0.25">
      <c r="A322" s="61" t="s">
        <v>442</v>
      </c>
      <c r="B322" s="89" t="s">
        <v>443</v>
      </c>
      <c r="C322" s="95">
        <v>30</v>
      </c>
      <c r="D322" s="96">
        <v>10</v>
      </c>
      <c r="E322" s="39">
        <v>5</v>
      </c>
      <c r="F322" s="39">
        <v>10</v>
      </c>
      <c r="G322" s="40">
        <v>5</v>
      </c>
      <c r="H322" s="22">
        <f t="shared" si="127"/>
        <v>30</v>
      </c>
      <c r="I322" s="96">
        <v>0</v>
      </c>
      <c r="J322" s="39">
        <v>0</v>
      </c>
      <c r="K322" s="39">
        <v>0</v>
      </c>
      <c r="L322" s="40">
        <v>0</v>
      </c>
      <c r="M322" s="22">
        <f t="shared" si="128"/>
        <v>0</v>
      </c>
      <c r="N322" s="38">
        <v>0</v>
      </c>
      <c r="O322" s="39">
        <v>0</v>
      </c>
      <c r="P322" s="39">
        <v>0</v>
      </c>
      <c r="Q322" s="40">
        <v>0</v>
      </c>
      <c r="R322" s="22">
        <f t="shared" si="129"/>
        <v>0</v>
      </c>
      <c r="S322" s="22">
        <f t="shared" si="130"/>
        <v>30</v>
      </c>
    </row>
    <row r="323" spans="1:19" ht="15" customHeight="1" x14ac:dyDescent="0.25">
      <c r="A323" s="61" t="s">
        <v>444</v>
      </c>
      <c r="B323" s="89" t="s">
        <v>445</v>
      </c>
      <c r="C323" s="95">
        <v>15</v>
      </c>
      <c r="D323" s="96">
        <v>10</v>
      </c>
      <c r="E323" s="39">
        <v>5</v>
      </c>
      <c r="F323" s="39">
        <v>5</v>
      </c>
      <c r="G323" s="40">
        <v>0</v>
      </c>
      <c r="H323" s="22">
        <f t="shared" si="127"/>
        <v>20</v>
      </c>
      <c r="I323" s="38">
        <v>0</v>
      </c>
      <c r="J323" s="39">
        <v>0</v>
      </c>
      <c r="K323" s="39">
        <v>0</v>
      </c>
      <c r="L323" s="40">
        <v>0</v>
      </c>
      <c r="M323" s="22">
        <f t="shared" si="128"/>
        <v>0</v>
      </c>
      <c r="N323" s="38">
        <v>0</v>
      </c>
      <c r="O323" s="39">
        <v>0</v>
      </c>
      <c r="P323" s="39">
        <v>0</v>
      </c>
      <c r="Q323" s="40">
        <v>0</v>
      </c>
      <c r="R323" s="22">
        <f t="shared" si="129"/>
        <v>0</v>
      </c>
      <c r="S323" s="22">
        <f t="shared" si="130"/>
        <v>20</v>
      </c>
    </row>
    <row r="324" spans="1:19" ht="15" customHeight="1" x14ac:dyDescent="0.25">
      <c r="A324" s="61" t="s">
        <v>446</v>
      </c>
      <c r="B324" s="86" t="s">
        <v>529</v>
      </c>
      <c r="C324" s="98">
        <v>0</v>
      </c>
      <c r="D324" s="99">
        <v>0</v>
      </c>
      <c r="E324" s="39">
        <v>0</v>
      </c>
      <c r="F324" s="39">
        <v>0</v>
      </c>
      <c r="G324" s="40">
        <v>0</v>
      </c>
      <c r="H324" s="22">
        <f t="shared" si="127"/>
        <v>0</v>
      </c>
      <c r="I324" s="38">
        <v>0</v>
      </c>
      <c r="J324" s="39">
        <v>0</v>
      </c>
      <c r="K324" s="39">
        <v>0</v>
      </c>
      <c r="L324" s="40">
        <v>0</v>
      </c>
      <c r="M324" s="22">
        <f t="shared" si="128"/>
        <v>0</v>
      </c>
      <c r="N324" s="38">
        <v>0</v>
      </c>
      <c r="O324" s="39">
        <v>0</v>
      </c>
      <c r="P324" s="39">
        <v>0</v>
      </c>
      <c r="Q324" s="40">
        <v>0</v>
      </c>
      <c r="R324" s="22">
        <f t="shared" si="129"/>
        <v>0</v>
      </c>
      <c r="S324" s="22">
        <f t="shared" si="130"/>
        <v>0</v>
      </c>
    </row>
    <row r="325" spans="1:19" ht="15" customHeight="1" x14ac:dyDescent="0.25">
      <c r="A325" s="61" t="s">
        <v>447</v>
      </c>
      <c r="B325" s="86" t="s">
        <v>534</v>
      </c>
      <c r="C325" s="98">
        <v>0</v>
      </c>
      <c r="D325" s="99">
        <v>0</v>
      </c>
      <c r="E325" s="39">
        <v>0</v>
      </c>
      <c r="F325" s="39">
        <v>0</v>
      </c>
      <c r="G325" s="40">
        <v>0</v>
      </c>
      <c r="H325" s="22">
        <f t="shared" si="127"/>
        <v>0</v>
      </c>
      <c r="I325" s="38">
        <v>0</v>
      </c>
      <c r="J325" s="39">
        <v>0</v>
      </c>
      <c r="K325" s="39">
        <v>0</v>
      </c>
      <c r="L325" s="40">
        <v>0</v>
      </c>
      <c r="M325" s="22">
        <f t="shared" si="128"/>
        <v>0</v>
      </c>
      <c r="N325" s="38">
        <v>0</v>
      </c>
      <c r="O325" s="39">
        <v>0</v>
      </c>
      <c r="P325" s="39">
        <v>0</v>
      </c>
      <c r="Q325" s="40">
        <v>0</v>
      </c>
      <c r="R325" s="22">
        <f t="shared" si="129"/>
        <v>0</v>
      </c>
      <c r="S325" s="22">
        <f t="shared" si="130"/>
        <v>0</v>
      </c>
    </row>
    <row r="326" spans="1:19" ht="15" customHeight="1" x14ac:dyDescent="0.25">
      <c r="A326" s="61" t="s">
        <v>448</v>
      </c>
      <c r="B326" s="86" t="s">
        <v>530</v>
      </c>
      <c r="C326" s="98">
        <v>0</v>
      </c>
      <c r="D326" s="99">
        <v>0</v>
      </c>
      <c r="E326" s="39">
        <v>0</v>
      </c>
      <c r="F326" s="39">
        <v>0</v>
      </c>
      <c r="G326" s="40">
        <v>0</v>
      </c>
      <c r="H326" s="22">
        <f t="shared" si="127"/>
        <v>0</v>
      </c>
      <c r="I326" s="38">
        <v>0</v>
      </c>
      <c r="J326" s="39">
        <v>0</v>
      </c>
      <c r="K326" s="39">
        <v>0</v>
      </c>
      <c r="L326" s="40">
        <v>0</v>
      </c>
      <c r="M326" s="22">
        <f t="shared" si="128"/>
        <v>0</v>
      </c>
      <c r="N326" s="38">
        <v>0</v>
      </c>
      <c r="O326" s="39">
        <v>0</v>
      </c>
      <c r="P326" s="39">
        <v>0</v>
      </c>
      <c r="Q326" s="40">
        <v>0</v>
      </c>
      <c r="R326" s="22">
        <f t="shared" si="129"/>
        <v>0</v>
      </c>
      <c r="S326" s="22">
        <f t="shared" si="130"/>
        <v>0</v>
      </c>
    </row>
    <row r="327" spans="1:19" ht="27" customHeight="1" x14ac:dyDescent="0.25">
      <c r="A327" s="61" t="s">
        <v>449</v>
      </c>
      <c r="B327" s="89" t="s">
        <v>450</v>
      </c>
      <c r="C327" s="95">
        <v>5</v>
      </c>
      <c r="D327" s="96">
        <v>0</v>
      </c>
      <c r="E327" s="39">
        <v>0</v>
      </c>
      <c r="F327" s="39">
        <v>0</v>
      </c>
      <c r="G327" s="40">
        <v>5</v>
      </c>
      <c r="H327" s="22">
        <f t="shared" si="127"/>
        <v>5</v>
      </c>
      <c r="I327" s="38">
        <v>0</v>
      </c>
      <c r="J327" s="39">
        <v>0</v>
      </c>
      <c r="K327" s="39">
        <v>0</v>
      </c>
      <c r="L327" s="40">
        <v>0</v>
      </c>
      <c r="M327" s="22">
        <f t="shared" si="128"/>
        <v>0</v>
      </c>
      <c r="N327" s="38">
        <v>0</v>
      </c>
      <c r="O327" s="39">
        <v>0</v>
      </c>
      <c r="P327" s="39">
        <v>0</v>
      </c>
      <c r="Q327" s="40">
        <v>0</v>
      </c>
      <c r="R327" s="22">
        <f t="shared" si="129"/>
        <v>0</v>
      </c>
      <c r="S327" s="22">
        <f t="shared" si="130"/>
        <v>5</v>
      </c>
    </row>
    <row r="328" spans="1:19" ht="15" customHeight="1" x14ac:dyDescent="0.25">
      <c r="A328" s="61" t="s">
        <v>451</v>
      </c>
      <c r="B328" s="97" t="s">
        <v>452</v>
      </c>
      <c r="C328" s="98">
        <v>10</v>
      </c>
      <c r="D328" s="99">
        <v>0</v>
      </c>
      <c r="E328" s="39">
        <v>5</v>
      </c>
      <c r="F328" s="39">
        <v>3</v>
      </c>
      <c r="G328" s="40">
        <v>2</v>
      </c>
      <c r="H328" s="22">
        <f t="shared" si="127"/>
        <v>10</v>
      </c>
      <c r="I328" s="38">
        <v>0</v>
      </c>
      <c r="J328" s="39">
        <v>0</v>
      </c>
      <c r="K328" s="39">
        <v>0</v>
      </c>
      <c r="L328" s="40">
        <v>0</v>
      </c>
      <c r="M328" s="22">
        <f t="shared" si="128"/>
        <v>0</v>
      </c>
      <c r="N328" s="38">
        <v>0</v>
      </c>
      <c r="O328" s="39">
        <v>0</v>
      </c>
      <c r="P328" s="39">
        <v>0</v>
      </c>
      <c r="Q328" s="40">
        <v>0</v>
      </c>
      <c r="R328" s="22">
        <f t="shared" si="129"/>
        <v>0</v>
      </c>
      <c r="S328" s="22">
        <f t="shared" si="130"/>
        <v>10</v>
      </c>
    </row>
    <row r="329" spans="1:19" ht="15" customHeight="1" x14ac:dyDescent="0.25">
      <c r="A329" s="61" t="s">
        <v>453</v>
      </c>
      <c r="B329" s="97" t="s">
        <v>454</v>
      </c>
      <c r="C329" s="98">
        <v>30</v>
      </c>
      <c r="D329" s="96">
        <v>5</v>
      </c>
      <c r="E329" s="39">
        <v>5</v>
      </c>
      <c r="F329" s="39">
        <v>5</v>
      </c>
      <c r="G329" s="40">
        <v>15</v>
      </c>
      <c r="H329" s="22">
        <f t="shared" si="127"/>
        <v>30</v>
      </c>
      <c r="I329" s="38">
        <v>0</v>
      </c>
      <c r="J329" s="39">
        <v>0</v>
      </c>
      <c r="K329" s="39">
        <v>0</v>
      </c>
      <c r="L329" s="40">
        <v>0</v>
      </c>
      <c r="M329" s="22">
        <f t="shared" si="128"/>
        <v>0</v>
      </c>
      <c r="N329" s="38">
        <v>0</v>
      </c>
      <c r="O329" s="39">
        <v>0</v>
      </c>
      <c r="P329" s="39">
        <v>0</v>
      </c>
      <c r="Q329" s="40">
        <v>0</v>
      </c>
      <c r="R329" s="22">
        <f t="shared" si="129"/>
        <v>0</v>
      </c>
      <c r="S329" s="22">
        <f t="shared" si="130"/>
        <v>30</v>
      </c>
    </row>
    <row r="330" spans="1:19" ht="15" customHeight="1" x14ac:dyDescent="0.25">
      <c r="A330" s="61" t="s">
        <v>455</v>
      </c>
      <c r="B330" s="97" t="s">
        <v>456</v>
      </c>
      <c r="C330" s="98">
        <v>7</v>
      </c>
      <c r="D330" s="99">
        <v>2</v>
      </c>
      <c r="E330" s="39">
        <v>2</v>
      </c>
      <c r="F330" s="39">
        <v>2</v>
      </c>
      <c r="G330" s="40">
        <v>1</v>
      </c>
      <c r="H330" s="22">
        <f t="shared" si="127"/>
        <v>7</v>
      </c>
      <c r="I330" s="38">
        <v>0</v>
      </c>
      <c r="J330" s="39">
        <v>0</v>
      </c>
      <c r="K330" s="39">
        <v>0</v>
      </c>
      <c r="L330" s="40">
        <v>0</v>
      </c>
      <c r="M330" s="22">
        <f t="shared" si="128"/>
        <v>0</v>
      </c>
      <c r="N330" s="38">
        <v>0</v>
      </c>
      <c r="O330" s="39">
        <v>0</v>
      </c>
      <c r="P330" s="39">
        <v>0</v>
      </c>
      <c r="Q330" s="40">
        <v>0</v>
      </c>
      <c r="R330" s="22">
        <f t="shared" si="129"/>
        <v>0</v>
      </c>
      <c r="S330" s="22">
        <f t="shared" si="130"/>
        <v>7</v>
      </c>
    </row>
    <row r="331" spans="1:19" ht="15" customHeight="1" x14ac:dyDescent="0.25">
      <c r="A331" s="61" t="s">
        <v>457</v>
      </c>
      <c r="B331" s="97" t="s">
        <v>458</v>
      </c>
      <c r="C331" s="98">
        <v>20</v>
      </c>
      <c r="D331" s="99">
        <v>5</v>
      </c>
      <c r="E331" s="39">
        <v>5</v>
      </c>
      <c r="F331" s="39">
        <v>5</v>
      </c>
      <c r="G331" s="40">
        <v>5</v>
      </c>
      <c r="H331" s="22">
        <f t="shared" si="127"/>
        <v>20</v>
      </c>
      <c r="I331" s="38">
        <v>0</v>
      </c>
      <c r="J331" s="39">
        <v>0</v>
      </c>
      <c r="K331" s="39">
        <v>0</v>
      </c>
      <c r="L331" s="40">
        <v>0</v>
      </c>
      <c r="M331" s="22">
        <f t="shared" si="128"/>
        <v>0</v>
      </c>
      <c r="N331" s="38">
        <v>0</v>
      </c>
      <c r="O331" s="39">
        <v>0</v>
      </c>
      <c r="P331" s="39">
        <v>0</v>
      </c>
      <c r="Q331" s="40">
        <v>0</v>
      </c>
      <c r="R331" s="22">
        <f t="shared" si="129"/>
        <v>0</v>
      </c>
      <c r="S331" s="22">
        <f t="shared" si="130"/>
        <v>20</v>
      </c>
    </row>
    <row r="332" spans="1:19" ht="15" customHeight="1" x14ac:dyDescent="0.25">
      <c r="A332" s="61" t="s">
        <v>459</v>
      </c>
      <c r="B332" s="97" t="s">
        <v>460</v>
      </c>
      <c r="C332" s="98">
        <v>20</v>
      </c>
      <c r="D332" s="99">
        <v>5</v>
      </c>
      <c r="E332" s="39">
        <v>5</v>
      </c>
      <c r="F332" s="39">
        <v>5</v>
      </c>
      <c r="G332" s="40">
        <v>5</v>
      </c>
      <c r="H332" s="22">
        <f t="shared" si="127"/>
        <v>20</v>
      </c>
      <c r="I332" s="38">
        <v>0</v>
      </c>
      <c r="J332" s="39">
        <v>0</v>
      </c>
      <c r="K332" s="39">
        <v>0</v>
      </c>
      <c r="L332" s="40">
        <v>0</v>
      </c>
      <c r="M332" s="22">
        <f t="shared" si="128"/>
        <v>0</v>
      </c>
      <c r="N332" s="38">
        <v>0</v>
      </c>
      <c r="O332" s="39">
        <v>0</v>
      </c>
      <c r="P332" s="39">
        <v>0</v>
      </c>
      <c r="Q332" s="40">
        <v>0</v>
      </c>
      <c r="R332" s="22">
        <f t="shared" si="129"/>
        <v>0</v>
      </c>
      <c r="S332" s="22">
        <f t="shared" si="130"/>
        <v>20</v>
      </c>
    </row>
    <row r="333" spans="1:19" ht="15" customHeight="1" x14ac:dyDescent="0.25">
      <c r="A333" s="61" t="s">
        <v>461</v>
      </c>
      <c r="B333" s="97" t="s">
        <v>462</v>
      </c>
      <c r="C333" s="98">
        <v>20</v>
      </c>
      <c r="D333" s="99">
        <v>5</v>
      </c>
      <c r="E333" s="39">
        <v>10</v>
      </c>
      <c r="F333" s="39">
        <v>10</v>
      </c>
      <c r="G333" s="40">
        <v>5</v>
      </c>
      <c r="H333" s="22">
        <f t="shared" si="127"/>
        <v>30</v>
      </c>
      <c r="I333" s="38">
        <v>0</v>
      </c>
      <c r="J333" s="39">
        <v>0</v>
      </c>
      <c r="K333" s="39">
        <v>0</v>
      </c>
      <c r="L333" s="40">
        <v>0</v>
      </c>
      <c r="M333" s="22">
        <f t="shared" si="128"/>
        <v>0</v>
      </c>
      <c r="N333" s="38">
        <v>0</v>
      </c>
      <c r="O333" s="39">
        <v>0</v>
      </c>
      <c r="P333" s="39">
        <v>0</v>
      </c>
      <c r="Q333" s="40">
        <v>0</v>
      </c>
      <c r="R333" s="22">
        <f t="shared" si="129"/>
        <v>0</v>
      </c>
      <c r="S333" s="22">
        <f t="shared" si="130"/>
        <v>30</v>
      </c>
    </row>
    <row r="334" spans="1:19" ht="15" customHeight="1" x14ac:dyDescent="0.25">
      <c r="A334" s="61" t="s">
        <v>463</v>
      </c>
      <c r="B334" s="97" t="s">
        <v>464</v>
      </c>
      <c r="C334" s="98">
        <v>10</v>
      </c>
      <c r="D334" s="99">
        <v>3</v>
      </c>
      <c r="E334" s="39">
        <v>5</v>
      </c>
      <c r="F334" s="39">
        <v>5</v>
      </c>
      <c r="G334" s="40">
        <v>2</v>
      </c>
      <c r="H334" s="22">
        <f t="shared" si="127"/>
        <v>15</v>
      </c>
      <c r="I334" s="38">
        <v>0</v>
      </c>
      <c r="J334" s="39">
        <v>0</v>
      </c>
      <c r="K334" s="39">
        <v>0</v>
      </c>
      <c r="L334" s="40">
        <v>0</v>
      </c>
      <c r="M334" s="22">
        <f t="shared" si="128"/>
        <v>0</v>
      </c>
      <c r="N334" s="38">
        <v>0</v>
      </c>
      <c r="O334" s="39">
        <v>0</v>
      </c>
      <c r="P334" s="39">
        <v>0</v>
      </c>
      <c r="Q334" s="40">
        <v>0</v>
      </c>
      <c r="R334" s="22">
        <f t="shared" si="129"/>
        <v>0</v>
      </c>
      <c r="S334" s="22">
        <f t="shared" si="130"/>
        <v>15</v>
      </c>
    </row>
    <row r="335" spans="1:19" ht="15" customHeight="1" x14ac:dyDescent="0.25">
      <c r="A335" s="61" t="s">
        <v>465</v>
      </c>
      <c r="B335" s="97" t="s">
        <v>466</v>
      </c>
      <c r="C335" s="98">
        <v>20</v>
      </c>
      <c r="D335" s="99">
        <v>3</v>
      </c>
      <c r="E335" s="39">
        <v>5</v>
      </c>
      <c r="F335" s="39">
        <v>5</v>
      </c>
      <c r="G335" s="40">
        <v>2</v>
      </c>
      <c r="H335" s="22">
        <f t="shared" si="127"/>
        <v>15</v>
      </c>
      <c r="I335" s="38">
        <v>0</v>
      </c>
      <c r="J335" s="39">
        <v>0</v>
      </c>
      <c r="K335" s="39">
        <v>0</v>
      </c>
      <c r="L335" s="40">
        <v>0</v>
      </c>
      <c r="M335" s="22">
        <f t="shared" si="128"/>
        <v>0</v>
      </c>
      <c r="N335" s="38">
        <v>0</v>
      </c>
      <c r="O335" s="39">
        <v>0</v>
      </c>
      <c r="P335" s="39">
        <v>0</v>
      </c>
      <c r="Q335" s="40">
        <v>0</v>
      </c>
      <c r="R335" s="22">
        <f t="shared" si="129"/>
        <v>0</v>
      </c>
      <c r="S335" s="22">
        <f t="shared" si="130"/>
        <v>15</v>
      </c>
    </row>
    <row r="336" spans="1:19" ht="15" customHeight="1" x14ac:dyDescent="0.25">
      <c r="A336" s="61" t="s">
        <v>467</v>
      </c>
      <c r="B336" s="97" t="s">
        <v>468</v>
      </c>
      <c r="C336" s="98">
        <v>5</v>
      </c>
      <c r="D336" s="99">
        <v>1</v>
      </c>
      <c r="E336" s="39">
        <v>2</v>
      </c>
      <c r="F336" s="39">
        <v>0</v>
      </c>
      <c r="G336" s="40">
        <v>2</v>
      </c>
      <c r="H336" s="22">
        <f t="shared" si="127"/>
        <v>5</v>
      </c>
      <c r="I336" s="38">
        <v>0</v>
      </c>
      <c r="J336" s="39">
        <v>0</v>
      </c>
      <c r="K336" s="39">
        <v>0</v>
      </c>
      <c r="L336" s="40">
        <v>0</v>
      </c>
      <c r="M336" s="22">
        <f t="shared" si="128"/>
        <v>0</v>
      </c>
      <c r="N336" s="38">
        <v>0</v>
      </c>
      <c r="O336" s="39">
        <v>0</v>
      </c>
      <c r="P336" s="39">
        <v>0</v>
      </c>
      <c r="Q336" s="40">
        <v>0</v>
      </c>
      <c r="R336" s="22">
        <f t="shared" si="129"/>
        <v>0</v>
      </c>
      <c r="S336" s="22">
        <f t="shared" si="130"/>
        <v>5</v>
      </c>
    </row>
    <row r="337" spans="1:19" ht="15" customHeight="1" x14ac:dyDescent="0.25">
      <c r="A337" s="61" t="s">
        <v>469</v>
      </c>
      <c r="B337" s="100" t="s">
        <v>470</v>
      </c>
      <c r="C337" s="101">
        <v>3</v>
      </c>
      <c r="D337" s="102">
        <v>1</v>
      </c>
      <c r="E337" s="103">
        <v>1</v>
      </c>
      <c r="F337" s="103">
        <v>0</v>
      </c>
      <c r="G337" s="104">
        <v>1</v>
      </c>
      <c r="H337" s="105">
        <f t="shared" si="127"/>
        <v>3</v>
      </c>
      <c r="I337" s="106">
        <v>0</v>
      </c>
      <c r="J337" s="103">
        <v>0</v>
      </c>
      <c r="K337" s="39">
        <v>0</v>
      </c>
      <c r="L337" s="40">
        <v>0</v>
      </c>
      <c r="M337" s="105">
        <f t="shared" si="128"/>
        <v>0</v>
      </c>
      <c r="N337" s="38">
        <v>0</v>
      </c>
      <c r="O337" s="39">
        <v>0</v>
      </c>
      <c r="P337" s="39">
        <v>0</v>
      </c>
      <c r="Q337" s="40">
        <v>0</v>
      </c>
      <c r="R337" s="105">
        <f t="shared" si="129"/>
        <v>0</v>
      </c>
      <c r="S337" s="22">
        <f t="shared" si="130"/>
        <v>3</v>
      </c>
    </row>
    <row r="338" spans="1:19" ht="15" customHeight="1" x14ac:dyDescent="0.25">
      <c r="A338" s="61" t="s">
        <v>471</v>
      </c>
      <c r="B338" s="100" t="s">
        <v>583</v>
      </c>
      <c r="C338" s="101">
        <v>0</v>
      </c>
      <c r="D338" s="102">
        <v>0</v>
      </c>
      <c r="E338" s="103">
        <v>0</v>
      </c>
      <c r="F338" s="103">
        <v>0</v>
      </c>
      <c r="G338" s="107">
        <v>0</v>
      </c>
      <c r="H338" s="105">
        <v>0</v>
      </c>
      <c r="I338" s="108">
        <v>1.75</v>
      </c>
      <c r="J338" s="103">
        <v>1.75</v>
      </c>
      <c r="K338" s="103">
        <v>1.75</v>
      </c>
      <c r="L338" s="107">
        <v>1.75</v>
      </c>
      <c r="M338" s="105">
        <f t="shared" si="128"/>
        <v>7</v>
      </c>
      <c r="N338" s="108">
        <v>2</v>
      </c>
      <c r="O338" s="103">
        <v>2</v>
      </c>
      <c r="P338" s="103">
        <v>2</v>
      </c>
      <c r="Q338" s="107">
        <v>2</v>
      </c>
      <c r="R338" s="105">
        <f t="shared" si="129"/>
        <v>8</v>
      </c>
      <c r="S338" s="105">
        <f t="shared" si="130"/>
        <v>15</v>
      </c>
    </row>
    <row r="339" spans="1:19" ht="15.75" customHeight="1" x14ac:dyDescent="0.25">
      <c r="A339" s="61" t="s">
        <v>472</v>
      </c>
      <c r="B339" s="100" t="s">
        <v>584</v>
      </c>
      <c r="C339" s="101">
        <v>0</v>
      </c>
      <c r="D339" s="102">
        <v>0</v>
      </c>
      <c r="E339" s="103">
        <v>0</v>
      </c>
      <c r="F339" s="103">
        <v>0</v>
      </c>
      <c r="G339" s="107">
        <v>0</v>
      </c>
      <c r="H339" s="105">
        <v>0</v>
      </c>
      <c r="I339" s="108">
        <v>4.75</v>
      </c>
      <c r="J339" s="103">
        <v>4.75</v>
      </c>
      <c r="K339" s="103">
        <v>4.75</v>
      </c>
      <c r="L339" s="107">
        <v>4.75</v>
      </c>
      <c r="M339" s="105">
        <f t="shared" si="128"/>
        <v>19</v>
      </c>
      <c r="N339" s="108">
        <v>3.25</v>
      </c>
      <c r="O339" s="103">
        <v>3.25</v>
      </c>
      <c r="P339" s="103">
        <v>3.25</v>
      </c>
      <c r="Q339" s="107">
        <v>3.25</v>
      </c>
      <c r="R339" s="105">
        <f t="shared" si="129"/>
        <v>13</v>
      </c>
      <c r="S339" s="105">
        <f t="shared" si="130"/>
        <v>32</v>
      </c>
    </row>
    <row r="340" spans="1:19" ht="15" customHeight="1" x14ac:dyDescent="0.25">
      <c r="A340" s="61" t="s">
        <v>473</v>
      </c>
      <c r="B340" s="100" t="s">
        <v>585</v>
      </c>
      <c r="C340" s="101">
        <v>0</v>
      </c>
      <c r="D340" s="102">
        <v>0</v>
      </c>
      <c r="E340" s="103">
        <v>0</v>
      </c>
      <c r="F340" s="103">
        <v>0</v>
      </c>
      <c r="G340" s="107">
        <v>0</v>
      </c>
      <c r="H340" s="105">
        <v>0</v>
      </c>
      <c r="I340" s="108">
        <v>15.25</v>
      </c>
      <c r="J340" s="103">
        <v>15.25</v>
      </c>
      <c r="K340" s="103">
        <v>15.25</v>
      </c>
      <c r="L340" s="107">
        <v>15.25</v>
      </c>
      <c r="M340" s="105">
        <f t="shared" si="128"/>
        <v>61</v>
      </c>
      <c r="N340" s="108">
        <v>12.25</v>
      </c>
      <c r="O340" s="103">
        <v>12.25</v>
      </c>
      <c r="P340" s="103">
        <v>12.25</v>
      </c>
      <c r="Q340" s="107">
        <v>12.25</v>
      </c>
      <c r="R340" s="105">
        <f t="shared" si="129"/>
        <v>49</v>
      </c>
      <c r="S340" s="105">
        <f t="shared" si="130"/>
        <v>110</v>
      </c>
    </row>
    <row r="341" spans="1:19" ht="15" customHeight="1" x14ac:dyDescent="0.25">
      <c r="A341" s="61" t="s">
        <v>474</v>
      </c>
      <c r="B341" s="100" t="s">
        <v>586</v>
      </c>
      <c r="C341" s="101">
        <v>0</v>
      </c>
      <c r="D341" s="102">
        <v>0</v>
      </c>
      <c r="E341" s="103">
        <v>0</v>
      </c>
      <c r="F341" s="103">
        <v>0</v>
      </c>
      <c r="G341" s="107">
        <v>0</v>
      </c>
      <c r="H341" s="105">
        <v>0</v>
      </c>
      <c r="I341" s="108">
        <v>24</v>
      </c>
      <c r="J341" s="103">
        <v>24</v>
      </c>
      <c r="K341" s="103">
        <v>24</v>
      </c>
      <c r="L341" s="107">
        <v>24</v>
      </c>
      <c r="M341" s="105">
        <f t="shared" si="128"/>
        <v>96</v>
      </c>
      <c r="N341" s="108">
        <v>21.75</v>
      </c>
      <c r="O341" s="103">
        <v>21.75</v>
      </c>
      <c r="P341" s="103">
        <v>21.75</v>
      </c>
      <c r="Q341" s="107">
        <v>21.75</v>
      </c>
      <c r="R341" s="105">
        <f t="shared" si="129"/>
        <v>87</v>
      </c>
      <c r="S341" s="105">
        <f t="shared" si="130"/>
        <v>183</v>
      </c>
    </row>
    <row r="342" spans="1:19" ht="15" customHeight="1" x14ac:dyDescent="0.25">
      <c r="A342" s="61" t="s">
        <v>475</v>
      </c>
      <c r="B342" s="100" t="s">
        <v>587</v>
      </c>
      <c r="C342" s="101">
        <v>0</v>
      </c>
      <c r="D342" s="102">
        <v>0</v>
      </c>
      <c r="E342" s="103">
        <v>0</v>
      </c>
      <c r="F342" s="103">
        <v>0</v>
      </c>
      <c r="G342" s="107">
        <v>0</v>
      </c>
      <c r="H342" s="105">
        <v>0</v>
      </c>
      <c r="I342" s="108">
        <v>0.5</v>
      </c>
      <c r="J342" s="103">
        <v>0.5</v>
      </c>
      <c r="K342" s="103">
        <v>0.5</v>
      </c>
      <c r="L342" s="107">
        <v>0.5</v>
      </c>
      <c r="M342" s="105">
        <f t="shared" si="128"/>
        <v>2</v>
      </c>
      <c r="N342" s="108">
        <v>1.25</v>
      </c>
      <c r="O342" s="103">
        <v>1.25</v>
      </c>
      <c r="P342" s="103">
        <v>1.25</v>
      </c>
      <c r="Q342" s="107">
        <v>1.25</v>
      </c>
      <c r="R342" s="105">
        <f t="shared" si="129"/>
        <v>5</v>
      </c>
      <c r="S342" s="105">
        <f t="shared" si="130"/>
        <v>7</v>
      </c>
    </row>
    <row r="343" spans="1:19" ht="15" customHeight="1" x14ac:dyDescent="0.25">
      <c r="A343" s="61" t="s">
        <v>476</v>
      </c>
      <c r="B343" s="100" t="s">
        <v>588</v>
      </c>
      <c r="C343" s="101">
        <v>0</v>
      </c>
      <c r="D343" s="102">
        <v>0</v>
      </c>
      <c r="E343" s="103">
        <v>0</v>
      </c>
      <c r="F343" s="103">
        <v>0</v>
      </c>
      <c r="G343" s="107">
        <v>0</v>
      </c>
      <c r="H343" s="105">
        <v>0</v>
      </c>
      <c r="I343" s="108">
        <v>0.25</v>
      </c>
      <c r="J343" s="103">
        <v>0.25</v>
      </c>
      <c r="K343" s="103">
        <v>0.25</v>
      </c>
      <c r="L343" s="107">
        <v>0.25</v>
      </c>
      <c r="M343" s="105">
        <f t="shared" si="128"/>
        <v>1</v>
      </c>
      <c r="N343" s="108">
        <v>0.25</v>
      </c>
      <c r="O343" s="103">
        <v>0.25</v>
      </c>
      <c r="P343" s="103">
        <v>0.25</v>
      </c>
      <c r="Q343" s="107">
        <v>0.25</v>
      </c>
      <c r="R343" s="105">
        <f t="shared" si="129"/>
        <v>1</v>
      </c>
      <c r="S343" s="105">
        <f t="shared" si="130"/>
        <v>2</v>
      </c>
    </row>
    <row r="344" spans="1:19" ht="15" customHeight="1" x14ac:dyDescent="0.25">
      <c r="A344" s="61" t="s">
        <v>477</v>
      </c>
      <c r="B344" s="100" t="s">
        <v>589</v>
      </c>
      <c r="C344" s="101">
        <v>0</v>
      </c>
      <c r="D344" s="102">
        <v>0</v>
      </c>
      <c r="E344" s="103">
        <v>0</v>
      </c>
      <c r="F344" s="103">
        <v>0</v>
      </c>
      <c r="G344" s="107">
        <v>0</v>
      </c>
      <c r="H344" s="105">
        <v>0</v>
      </c>
      <c r="I344" s="108">
        <v>2.75</v>
      </c>
      <c r="J344" s="103">
        <v>2.75</v>
      </c>
      <c r="K344" s="103">
        <v>2.75</v>
      </c>
      <c r="L344" s="107">
        <v>2.75</v>
      </c>
      <c r="M344" s="105">
        <f t="shared" si="128"/>
        <v>11</v>
      </c>
      <c r="N344" s="108">
        <v>10</v>
      </c>
      <c r="O344" s="103">
        <v>10</v>
      </c>
      <c r="P344" s="103">
        <v>10</v>
      </c>
      <c r="Q344" s="107">
        <v>10</v>
      </c>
      <c r="R344" s="105">
        <f t="shared" si="129"/>
        <v>40</v>
      </c>
      <c r="S344" s="105">
        <f t="shared" si="130"/>
        <v>51</v>
      </c>
    </row>
    <row r="345" spans="1:19" ht="15" customHeight="1" x14ac:dyDescent="0.25">
      <c r="A345" s="61" t="s">
        <v>478</v>
      </c>
      <c r="B345" s="100" t="s">
        <v>590</v>
      </c>
      <c r="C345" s="101">
        <v>0</v>
      </c>
      <c r="D345" s="102">
        <v>0</v>
      </c>
      <c r="E345" s="103">
        <v>0</v>
      </c>
      <c r="F345" s="103">
        <v>0</v>
      </c>
      <c r="G345" s="107">
        <v>0</v>
      </c>
      <c r="H345" s="105">
        <v>0</v>
      </c>
      <c r="I345" s="108">
        <v>1</v>
      </c>
      <c r="J345" s="103">
        <v>1</v>
      </c>
      <c r="K345" s="103">
        <v>1</v>
      </c>
      <c r="L345" s="107">
        <v>1</v>
      </c>
      <c r="M345" s="105">
        <f t="shared" si="128"/>
        <v>4</v>
      </c>
      <c r="N345" s="108">
        <v>3.5</v>
      </c>
      <c r="O345" s="103">
        <v>3.5</v>
      </c>
      <c r="P345" s="103">
        <v>3.5</v>
      </c>
      <c r="Q345" s="107">
        <v>3.5</v>
      </c>
      <c r="R345" s="105">
        <f t="shared" si="129"/>
        <v>14</v>
      </c>
      <c r="S345" s="105">
        <f t="shared" si="130"/>
        <v>18</v>
      </c>
    </row>
    <row r="346" spans="1:19" ht="15" customHeight="1" x14ac:dyDescent="0.25">
      <c r="A346" s="61" t="s">
        <v>479</v>
      </c>
      <c r="B346" s="100" t="s">
        <v>481</v>
      </c>
      <c r="C346" s="101">
        <v>0</v>
      </c>
      <c r="D346" s="102">
        <v>0</v>
      </c>
      <c r="E346" s="103">
        <v>0</v>
      </c>
      <c r="F346" s="103">
        <v>0</v>
      </c>
      <c r="G346" s="107">
        <v>0</v>
      </c>
      <c r="H346" s="105">
        <v>0</v>
      </c>
      <c r="I346" s="108">
        <v>5</v>
      </c>
      <c r="J346" s="103">
        <v>5</v>
      </c>
      <c r="K346" s="103">
        <v>5</v>
      </c>
      <c r="L346" s="107">
        <v>5</v>
      </c>
      <c r="M346" s="105">
        <f t="shared" si="128"/>
        <v>20</v>
      </c>
      <c r="N346" s="108">
        <v>10</v>
      </c>
      <c r="O346" s="103">
        <v>10</v>
      </c>
      <c r="P346" s="103">
        <v>10</v>
      </c>
      <c r="Q346" s="107">
        <v>10</v>
      </c>
      <c r="R346" s="105">
        <f t="shared" si="129"/>
        <v>40</v>
      </c>
      <c r="S346" s="105">
        <f t="shared" si="130"/>
        <v>60</v>
      </c>
    </row>
    <row r="347" spans="1:19" ht="15" customHeight="1" x14ac:dyDescent="0.25">
      <c r="A347" s="61" t="s">
        <v>480</v>
      </c>
      <c r="B347" s="100" t="s">
        <v>482</v>
      </c>
      <c r="C347" s="101">
        <v>0</v>
      </c>
      <c r="D347" s="102">
        <v>0</v>
      </c>
      <c r="E347" s="103">
        <v>0</v>
      </c>
      <c r="F347" s="103">
        <v>0</v>
      </c>
      <c r="G347" s="107">
        <v>0</v>
      </c>
      <c r="H347" s="105">
        <v>0</v>
      </c>
      <c r="I347" s="108">
        <v>7.25</v>
      </c>
      <c r="J347" s="103">
        <v>7.25</v>
      </c>
      <c r="K347" s="103">
        <v>7.25</v>
      </c>
      <c r="L347" s="107">
        <v>7.25</v>
      </c>
      <c r="M347" s="105">
        <f t="shared" si="128"/>
        <v>29</v>
      </c>
      <c r="N347" s="108">
        <v>0</v>
      </c>
      <c r="O347" s="103">
        <v>0</v>
      </c>
      <c r="P347" s="103">
        <v>0</v>
      </c>
      <c r="Q347" s="107">
        <v>0</v>
      </c>
      <c r="R347" s="105">
        <f t="shared" si="129"/>
        <v>0</v>
      </c>
      <c r="S347" s="105">
        <f t="shared" si="130"/>
        <v>29</v>
      </c>
    </row>
    <row r="348" spans="1:19" ht="39" customHeight="1" x14ac:dyDescent="0.25">
      <c r="A348" s="109" t="s">
        <v>483</v>
      </c>
      <c r="B348" s="110" t="s">
        <v>533</v>
      </c>
      <c r="C348" s="98">
        <f>+C349+C350</f>
        <v>0</v>
      </c>
      <c r="D348" s="111">
        <f>+D349+D350</f>
        <v>0</v>
      </c>
      <c r="E348" s="39">
        <f>+E349+E350</f>
        <v>0</v>
      </c>
      <c r="F348" s="39">
        <f>+F349+F350</f>
        <v>0</v>
      </c>
      <c r="G348" s="112">
        <f>+G349+G350</f>
        <v>2605.66</v>
      </c>
      <c r="H348" s="105">
        <f t="shared" si="127"/>
        <v>2605.66</v>
      </c>
      <c r="I348" s="113">
        <f>+I349+I350</f>
        <v>0</v>
      </c>
      <c r="J348" s="39">
        <f>+J349+J350</f>
        <v>0</v>
      </c>
      <c r="K348" s="39">
        <f>+K349+K350</f>
        <v>0</v>
      </c>
      <c r="L348" s="112">
        <f>+L349+L350</f>
        <v>0</v>
      </c>
      <c r="M348" s="105">
        <f t="shared" si="128"/>
        <v>0</v>
      </c>
      <c r="N348" s="113">
        <f>+N349+N350</f>
        <v>0</v>
      </c>
      <c r="O348" s="39">
        <f>+O349+O350</f>
        <v>0</v>
      </c>
      <c r="P348" s="39">
        <f>+P349+P350</f>
        <v>0</v>
      </c>
      <c r="Q348" s="112">
        <f>+Q349+Q350</f>
        <v>0</v>
      </c>
      <c r="R348" s="105">
        <f t="shared" si="129"/>
        <v>0</v>
      </c>
      <c r="S348" s="105">
        <f t="shared" si="130"/>
        <v>2605.66</v>
      </c>
    </row>
    <row r="349" spans="1:19" ht="18" customHeight="1" x14ac:dyDescent="0.25">
      <c r="A349" s="70" t="s">
        <v>484</v>
      </c>
      <c r="B349" s="81" t="s">
        <v>280</v>
      </c>
      <c r="C349" s="98">
        <f t="shared" ref="C349:G350" si="142">+C193</f>
        <v>0</v>
      </c>
      <c r="D349" s="111">
        <f t="shared" si="142"/>
        <v>0</v>
      </c>
      <c r="E349" s="39">
        <f t="shared" si="142"/>
        <v>0</v>
      </c>
      <c r="F349" s="39">
        <f t="shared" si="142"/>
        <v>0</v>
      </c>
      <c r="G349" s="112">
        <f t="shared" si="142"/>
        <v>2299.73</v>
      </c>
      <c r="H349" s="22">
        <f>SUM(D349:G349)</f>
        <v>2299.73</v>
      </c>
      <c r="I349" s="113">
        <f t="shared" ref="I349:L350" si="143">+I193</f>
        <v>0</v>
      </c>
      <c r="J349" s="39">
        <f t="shared" si="143"/>
        <v>0</v>
      </c>
      <c r="K349" s="39">
        <f t="shared" si="143"/>
        <v>0</v>
      </c>
      <c r="L349" s="112">
        <f t="shared" si="143"/>
        <v>0</v>
      </c>
      <c r="M349" s="22">
        <f t="shared" ref="M349:M350" si="144">SUM(I349:L349)</f>
        <v>0</v>
      </c>
      <c r="N349" s="113">
        <f t="shared" ref="N349:Q350" si="145">+N193</f>
        <v>0</v>
      </c>
      <c r="O349" s="39">
        <f t="shared" si="145"/>
        <v>0</v>
      </c>
      <c r="P349" s="39">
        <f t="shared" si="145"/>
        <v>0</v>
      </c>
      <c r="Q349" s="112">
        <f t="shared" si="145"/>
        <v>0</v>
      </c>
      <c r="R349" s="22">
        <f t="shared" ref="R349:R350" si="146">SUM(N349:Q349)</f>
        <v>0</v>
      </c>
      <c r="S349" s="22">
        <f t="shared" si="130"/>
        <v>2299.73</v>
      </c>
    </row>
    <row r="350" spans="1:19" ht="18" customHeight="1" thickBot="1" x14ac:dyDescent="0.3">
      <c r="A350" s="114" t="s">
        <v>485</v>
      </c>
      <c r="B350" s="115" t="s">
        <v>282</v>
      </c>
      <c r="C350" s="116">
        <f t="shared" si="142"/>
        <v>0</v>
      </c>
      <c r="D350" s="117">
        <f t="shared" si="142"/>
        <v>0</v>
      </c>
      <c r="E350" s="118">
        <f t="shared" si="142"/>
        <v>0</v>
      </c>
      <c r="F350" s="118">
        <f t="shared" si="142"/>
        <v>0</v>
      </c>
      <c r="G350" s="119">
        <f t="shared" si="142"/>
        <v>305.93</v>
      </c>
      <c r="H350" s="120">
        <f>SUM(D350:G350)</f>
        <v>305.93</v>
      </c>
      <c r="I350" s="121">
        <f t="shared" si="143"/>
        <v>0</v>
      </c>
      <c r="J350" s="118">
        <f t="shared" si="143"/>
        <v>0</v>
      </c>
      <c r="K350" s="118">
        <f t="shared" si="143"/>
        <v>0</v>
      </c>
      <c r="L350" s="119">
        <f t="shared" si="143"/>
        <v>0</v>
      </c>
      <c r="M350" s="120">
        <f t="shared" si="144"/>
        <v>0</v>
      </c>
      <c r="N350" s="121">
        <f t="shared" si="145"/>
        <v>0</v>
      </c>
      <c r="O350" s="118">
        <f t="shared" si="145"/>
        <v>0</v>
      </c>
      <c r="P350" s="118">
        <f t="shared" si="145"/>
        <v>0</v>
      </c>
      <c r="Q350" s="119">
        <f t="shared" si="145"/>
        <v>0</v>
      </c>
      <c r="R350" s="120">
        <f t="shared" si="146"/>
        <v>0</v>
      </c>
      <c r="S350" s="120">
        <f t="shared" si="130"/>
        <v>305.93</v>
      </c>
    </row>
    <row r="351" spans="1:19" ht="54" customHeight="1" thickBot="1" x14ac:dyDescent="0.3">
      <c r="A351" s="122" t="s">
        <v>486</v>
      </c>
      <c r="B351" s="150" t="s">
        <v>284</v>
      </c>
      <c r="C351" s="152">
        <v>294.33999999999997</v>
      </c>
      <c r="D351" s="151">
        <v>0</v>
      </c>
      <c r="E351" s="123">
        <v>0</v>
      </c>
      <c r="F351" s="123">
        <v>0</v>
      </c>
      <c r="G351" s="153">
        <v>0</v>
      </c>
      <c r="H351" s="152">
        <f t="shared" ref="H351" si="147">SUM(D351:G351)</f>
        <v>0</v>
      </c>
      <c r="I351" s="151">
        <v>0</v>
      </c>
      <c r="J351" s="123">
        <v>0</v>
      </c>
      <c r="K351" s="123">
        <v>0</v>
      </c>
      <c r="L351" s="153">
        <v>209.23</v>
      </c>
      <c r="M351" s="152">
        <f t="shared" si="128"/>
        <v>209.23</v>
      </c>
      <c r="N351" s="151">
        <v>0</v>
      </c>
      <c r="O351" s="123">
        <v>0</v>
      </c>
      <c r="P351" s="123">
        <v>4319.7700000000004</v>
      </c>
      <c r="Q351" s="153">
        <v>0</v>
      </c>
      <c r="R351" s="152">
        <f t="shared" si="129"/>
        <v>4319.7700000000004</v>
      </c>
      <c r="S351" s="152">
        <f t="shared" si="130"/>
        <v>4529</v>
      </c>
    </row>
    <row r="353" spans="6:13" ht="6" customHeight="1" x14ac:dyDescent="0.25">
      <c r="G353" s="133"/>
      <c r="H353" s="133"/>
      <c r="I353" s="133"/>
      <c r="J353" s="133"/>
      <c r="K353" s="133"/>
    </row>
    <row r="354" spans="6:13" x14ac:dyDescent="0.25">
      <c r="F354" t="s">
        <v>489</v>
      </c>
    </row>
    <row r="358" spans="6:13" x14ac:dyDescent="0.25">
      <c r="M358" s="124"/>
    </row>
  </sheetData>
  <mergeCells count="10">
    <mergeCell ref="J3:S3"/>
    <mergeCell ref="R5:S5"/>
    <mergeCell ref="A6:S6"/>
    <mergeCell ref="A8:A9"/>
    <mergeCell ref="B8:B9"/>
    <mergeCell ref="C8:C9"/>
    <mergeCell ref="D8:H8"/>
    <mergeCell ref="I8:M8"/>
    <mergeCell ref="N8:R8"/>
    <mergeCell ref="S8:S9"/>
  </mergeCells>
  <phoneticPr fontId="24" type="noConversion"/>
  <pageMargins left="0.78740157480314965" right="0.78740157480314965" top="1.1811023622047245" bottom="0.78740157480314965" header="0" footer="0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2019-2021 m.</vt:lpstr>
      <vt:lpstr>'2019-2021 m.'!Print_Area</vt:lpstr>
      <vt:lpstr>'2019-2021 m.'!Print_Titles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Giraitės vandenys</dc:creator>
  <cp:lastModifiedBy>Dalia Marcinkienė</cp:lastModifiedBy>
  <cp:lastPrinted>2021-10-20T07:06:13Z</cp:lastPrinted>
  <dcterms:created xsi:type="dcterms:W3CDTF">2021-10-08T13:00:03Z</dcterms:created>
  <dcterms:modified xsi:type="dcterms:W3CDTF">2021-10-21T11:50:48Z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bbisDVSAttachmentId">
    <vt:lpwstr>6015f58b-235d-477e-a4a6-a49843775653</vt:lpwstr>
  </property>
</Properties>
</file>